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oors Swim Squad\Desktop\2023 Moors\5-Moors 17th June 2023\"/>
    </mc:Choice>
  </mc:AlternateContent>
  <xr:revisionPtr revIDLastSave="0" documentId="13_ncr:1_{AD9F2E91-D01A-4BEA-BDA9-A0BD967DB310}" xr6:coauthVersionLast="47" xr6:coauthVersionMax="47" xr10:uidLastSave="{00000000-0000-0000-0000-000000000000}"/>
  <bookViews>
    <workbookView xWindow="-120" yWindow="-120" windowWidth="24240" windowHeight="13140" tabRatio="856" xr2:uid="{00000000-000D-0000-FFFF-FFFF00000000}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Relay Records" sheetId="9" r:id="rId8"/>
    <sheet name="DQ Lookup" sheetId="10" r:id="rId9"/>
    <sheet name="Team Changes after event" sheetId="8" r:id="rId10"/>
  </sheets>
  <definedNames>
    <definedName name="__xlfn_RTD">#N/A</definedName>
    <definedName name="place" localSheetId="0">'Moors League'!$D$89:$E$93</definedName>
    <definedName name="place" localSheetId="7">'Relay Records'!#REF!</definedName>
    <definedName name="points">'Moors League'!$T$9:$U$11</definedName>
    <definedName name="position">'Moors League'!$T$9:$U$14</definedName>
    <definedName name="_xlnm.Print_Area" localSheetId="5">'Lane 4 Team Sheet'!$A$1:$N$89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" i="3" l="1"/>
  <c r="O69" i="7"/>
  <c r="O68" i="7"/>
  <c r="O67" i="7"/>
  <c r="O66" i="7"/>
  <c r="O65" i="7"/>
  <c r="O64" i="7"/>
  <c r="O63" i="7"/>
  <c r="O62" i="7"/>
  <c r="O61" i="7"/>
  <c r="O60" i="7"/>
  <c r="Q16" i="7"/>
  <c r="Q15" i="7"/>
  <c r="N59" i="4"/>
  <c r="N88" i="6"/>
  <c r="N84" i="6"/>
  <c r="N83" i="6"/>
  <c r="N82" i="6"/>
  <c r="N81" i="6"/>
  <c r="N80" i="6"/>
  <c r="N79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37" i="6"/>
  <c r="N36" i="6"/>
  <c r="N35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N7" i="6"/>
  <c r="N6" i="6"/>
  <c r="N5" i="6"/>
  <c r="N4" i="6"/>
  <c r="N88" i="5"/>
  <c r="N84" i="5"/>
  <c r="N83" i="5"/>
  <c r="N82" i="5"/>
  <c r="N81" i="5"/>
  <c r="N80" i="5"/>
  <c r="N79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59" i="5"/>
  <c r="N58" i="5"/>
  <c r="N57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3" i="5"/>
  <c r="N12" i="5"/>
  <c r="N11" i="5"/>
  <c r="N10" i="5"/>
  <c r="N9" i="5"/>
  <c r="N8" i="5"/>
  <c r="N7" i="5"/>
  <c r="N6" i="5"/>
  <c r="N5" i="5"/>
  <c r="N4" i="5"/>
  <c r="N88" i="4"/>
  <c r="N84" i="4"/>
  <c r="N83" i="4"/>
  <c r="N82" i="4"/>
  <c r="N81" i="4"/>
  <c r="N80" i="4"/>
  <c r="N79" i="4"/>
  <c r="N77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3" i="4"/>
  <c r="N12" i="4"/>
  <c r="N11" i="4"/>
  <c r="N10" i="4"/>
  <c r="N9" i="4"/>
  <c r="N8" i="4"/>
  <c r="N7" i="4"/>
  <c r="N6" i="4"/>
  <c r="N5" i="4"/>
  <c r="N4" i="4"/>
  <c r="N22" i="3"/>
  <c r="N23" i="3"/>
  <c r="N24" i="3"/>
  <c r="N25" i="3"/>
  <c r="N26" i="3"/>
  <c r="N27" i="3"/>
  <c r="N28" i="3"/>
  <c r="N29" i="3"/>
  <c r="N30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70" i="3"/>
  <c r="N71" i="3"/>
  <c r="N72" i="3"/>
  <c r="N73" i="3"/>
  <c r="N74" i="3"/>
  <c r="N75" i="3"/>
  <c r="N76" i="3"/>
  <c r="N78" i="3"/>
  <c r="N79" i="3"/>
  <c r="N80" i="3"/>
  <c r="N81" i="3"/>
  <c r="N82" i="3"/>
  <c r="N83" i="3"/>
  <c r="N84" i="3"/>
  <c r="N85" i="3"/>
  <c r="N86" i="3"/>
  <c r="N87" i="3"/>
  <c r="N8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4" i="3"/>
  <c r="R51" i="7"/>
  <c r="Q51" i="7"/>
  <c r="P51" i="7"/>
  <c r="O51" i="7"/>
  <c r="R50" i="7"/>
  <c r="Q50" i="7"/>
  <c r="P50" i="7"/>
  <c r="O50" i="7"/>
  <c r="R49" i="7"/>
  <c r="Q49" i="7"/>
  <c r="P49" i="7"/>
  <c r="O49" i="7"/>
  <c r="R48" i="7"/>
  <c r="Q48" i="7"/>
  <c r="P48" i="7"/>
  <c r="O48" i="7"/>
  <c r="R47" i="7"/>
  <c r="Q47" i="7"/>
  <c r="P47" i="7"/>
  <c r="O47" i="7"/>
  <c r="R46" i="7"/>
  <c r="Q46" i="7"/>
  <c r="P46" i="7"/>
  <c r="O46" i="7"/>
  <c r="R45" i="7"/>
  <c r="Q45" i="7"/>
  <c r="P45" i="7"/>
  <c r="O45" i="7"/>
  <c r="O44" i="7"/>
  <c r="O43" i="7"/>
  <c r="O42" i="7"/>
  <c r="R17" i="7"/>
  <c r="R16" i="7"/>
  <c r="R15" i="7"/>
  <c r="R14" i="7"/>
  <c r="R13" i="7"/>
  <c r="R80" i="7"/>
  <c r="R79" i="7"/>
  <c r="R78" i="7"/>
  <c r="R77" i="7"/>
  <c r="R76" i="7"/>
  <c r="R75" i="7"/>
  <c r="R74" i="7"/>
  <c r="R73" i="7"/>
  <c r="R72" i="7"/>
  <c r="R70" i="7"/>
  <c r="R58" i="7"/>
  <c r="R56" i="7"/>
  <c r="R55" i="7"/>
  <c r="R54" i="7"/>
  <c r="R53" i="7"/>
  <c r="R52" i="7"/>
  <c r="R43" i="7"/>
  <c r="R42" i="7"/>
  <c r="R41" i="7"/>
  <c r="R40" i="7"/>
  <c r="R39" i="7"/>
  <c r="R38" i="7"/>
  <c r="R37" i="7"/>
  <c r="R36" i="7"/>
  <c r="R35" i="7"/>
  <c r="R34" i="7"/>
  <c r="R33" i="7"/>
  <c r="R32" i="7"/>
  <c r="R21" i="7"/>
  <c r="R23" i="7"/>
  <c r="R22" i="7"/>
  <c r="R20" i="7"/>
  <c r="R18" i="7"/>
  <c r="Q81" i="7"/>
  <c r="Q80" i="7"/>
  <c r="Q79" i="7"/>
  <c r="Q78" i="7"/>
  <c r="Q77" i="7"/>
  <c r="Q76" i="7"/>
  <c r="Q75" i="7"/>
  <c r="Q74" i="7"/>
  <c r="Q73" i="7"/>
  <c r="Q72" i="7"/>
  <c r="Q70" i="7"/>
  <c r="Q60" i="7"/>
  <c r="Q59" i="7"/>
  <c r="Q58" i="7"/>
  <c r="Q57" i="7"/>
  <c r="Q56" i="7"/>
  <c r="Q55" i="7"/>
  <c r="Q54" i="7"/>
  <c r="Q52" i="7"/>
  <c r="Q40" i="7"/>
  <c r="Q38" i="7"/>
  <c r="Q34" i="7"/>
  <c r="Q32" i="7"/>
  <c r="Q20" i="7"/>
  <c r="Q18" i="7"/>
  <c r="Q17" i="7"/>
  <c r="P81" i="7"/>
  <c r="P80" i="7"/>
  <c r="P79" i="7"/>
  <c r="P78" i="7"/>
  <c r="P77" i="7"/>
  <c r="P76" i="7"/>
  <c r="P75" i="7"/>
  <c r="P74" i="7"/>
  <c r="P73" i="7"/>
  <c r="P72" i="7"/>
  <c r="P70" i="7"/>
  <c r="P60" i="7"/>
  <c r="P59" i="7"/>
  <c r="P58" i="7"/>
  <c r="P57" i="7"/>
  <c r="P56" i="7"/>
  <c r="P55" i="7"/>
  <c r="P54" i="7"/>
  <c r="P53" i="7"/>
  <c r="P52" i="7"/>
  <c r="P43" i="7"/>
  <c r="P42" i="7"/>
  <c r="P41" i="7"/>
  <c r="P40" i="7"/>
  <c r="P39" i="7"/>
  <c r="P38" i="7"/>
  <c r="P35" i="7"/>
  <c r="P34" i="7"/>
  <c r="P33" i="7"/>
  <c r="P32" i="7"/>
  <c r="P21" i="7"/>
  <c r="P20" i="7"/>
  <c r="P19" i="7"/>
  <c r="P18" i="7"/>
  <c r="P17" i="7"/>
  <c r="P16" i="7"/>
  <c r="P15" i="7"/>
  <c r="O31" i="7"/>
  <c r="O30" i="7"/>
  <c r="O29" i="7"/>
  <c r="O28" i="7"/>
  <c r="O27" i="7"/>
  <c r="O26" i="7"/>
  <c r="O25" i="7"/>
  <c r="O24" i="7"/>
  <c r="O23" i="7"/>
  <c r="O22" i="7"/>
  <c r="O81" i="7"/>
  <c r="O80" i="7"/>
  <c r="O79" i="7"/>
  <c r="O78" i="7"/>
  <c r="O77" i="7"/>
  <c r="O76" i="7"/>
  <c r="O75" i="7"/>
  <c r="O74" i="7"/>
  <c r="O73" i="7"/>
  <c r="O72" i="7"/>
  <c r="O71" i="7"/>
  <c r="O70" i="7"/>
  <c r="O59" i="7"/>
  <c r="O58" i="7"/>
  <c r="O57" i="7"/>
  <c r="O56" i="7"/>
  <c r="O55" i="7"/>
  <c r="O54" i="7"/>
  <c r="O53" i="7"/>
  <c r="O52" i="7"/>
  <c r="O36" i="7"/>
  <c r="O37" i="7"/>
  <c r="O38" i="7"/>
  <c r="O39" i="7"/>
  <c r="O40" i="7"/>
  <c r="O41" i="7"/>
  <c r="O35" i="7"/>
  <c r="O34" i="7"/>
  <c r="O33" i="7"/>
  <c r="O32" i="7"/>
  <c r="Q14" i="7"/>
  <c r="P14" i="7"/>
  <c r="O13" i="7"/>
  <c r="O12" i="7"/>
  <c r="O11" i="7"/>
  <c r="O10" i="7"/>
  <c r="O9" i="7"/>
  <c r="O8" i="7"/>
  <c r="O7" i="7"/>
  <c r="O6" i="7"/>
  <c r="O5" i="7"/>
  <c r="O21" i="7"/>
  <c r="O20" i="7"/>
  <c r="O19" i="7"/>
  <c r="O18" i="7"/>
  <c r="O17" i="7"/>
  <c r="O16" i="7"/>
  <c r="O15" i="7"/>
  <c r="O14" i="7"/>
  <c r="R57" i="7"/>
  <c r="P21" i="5"/>
  <c r="P19" i="5"/>
  <c r="P17" i="5"/>
  <c r="P15" i="5"/>
  <c r="P33" i="5"/>
  <c r="P35" i="5"/>
  <c r="P37" i="5"/>
  <c r="P39" i="5"/>
  <c r="P41" i="5"/>
  <c r="P55" i="5"/>
  <c r="P57" i="5"/>
  <c r="P59" i="5"/>
  <c r="P61" i="5"/>
  <c r="P73" i="5"/>
  <c r="P75" i="5"/>
  <c r="P77" i="5"/>
  <c r="P81" i="5"/>
  <c r="P88" i="5"/>
  <c r="P15" i="4"/>
  <c r="P17" i="4"/>
  <c r="P19" i="4"/>
  <c r="P37" i="4"/>
  <c r="P35" i="4"/>
  <c r="P39" i="4"/>
  <c r="P41" i="4"/>
  <c r="P43" i="4"/>
  <c r="P57" i="4"/>
  <c r="P55" i="4"/>
  <c r="P68" i="4"/>
  <c r="P88" i="4"/>
  <c r="P83" i="4"/>
  <c r="P81" i="4"/>
  <c r="P75" i="4"/>
  <c r="P73" i="4"/>
  <c r="P55" i="3"/>
  <c r="P57" i="3"/>
  <c r="P59" i="3"/>
  <c r="P61" i="3"/>
  <c r="P83" i="3"/>
  <c r="P81" i="3"/>
  <c r="P75" i="3"/>
  <c r="P73" i="3"/>
  <c r="P43" i="3"/>
  <c r="P41" i="3"/>
  <c r="P39" i="3"/>
  <c r="P37" i="3"/>
  <c r="P35" i="3"/>
  <c r="P17" i="3"/>
  <c r="P83" i="6"/>
  <c r="P81" i="6"/>
  <c r="P79" i="6"/>
  <c r="P77" i="6"/>
  <c r="P75" i="6"/>
  <c r="P73" i="6"/>
  <c r="P61" i="6"/>
  <c r="P59" i="6"/>
  <c r="P55" i="6"/>
  <c r="P43" i="6"/>
  <c r="P41" i="6"/>
  <c r="P39" i="6"/>
  <c r="P37" i="6"/>
  <c r="P35" i="6"/>
  <c r="P33" i="6"/>
  <c r="P19" i="6"/>
  <c r="P17" i="6"/>
  <c r="P15" i="6"/>
  <c r="F5" i="3"/>
  <c r="P5" i="3" s="1"/>
  <c r="F30" i="4"/>
  <c r="P30" i="4" s="1"/>
  <c r="E41" i="1"/>
  <c r="K46" i="3" s="1"/>
  <c r="I41" i="1"/>
  <c r="K46" i="4" s="1"/>
  <c r="R31" i="7"/>
  <c r="R30" i="7"/>
  <c r="R29" i="7"/>
  <c r="R28" i="7"/>
  <c r="R27" i="7"/>
  <c r="R26" i="7"/>
  <c r="R25" i="7"/>
  <c r="R24" i="7"/>
  <c r="R69" i="7"/>
  <c r="R68" i="7"/>
  <c r="R67" i="7"/>
  <c r="R66" i="7"/>
  <c r="R65" i="7"/>
  <c r="R64" i="7"/>
  <c r="R63" i="7"/>
  <c r="R62" i="7"/>
  <c r="R61" i="7"/>
  <c r="R60" i="7"/>
  <c r="R44" i="7"/>
  <c r="E39" i="1"/>
  <c r="K44" i="3" s="1"/>
  <c r="R59" i="7"/>
  <c r="R19" i="7"/>
  <c r="R81" i="7"/>
  <c r="R71" i="7"/>
  <c r="R12" i="7"/>
  <c r="R11" i="7"/>
  <c r="R10" i="7"/>
  <c r="R9" i="7"/>
  <c r="R8" i="7"/>
  <c r="R7" i="7"/>
  <c r="R6" i="7"/>
  <c r="R5" i="7"/>
  <c r="R4" i="7"/>
  <c r="E68" i="1"/>
  <c r="K83" i="3" s="1"/>
  <c r="F4" i="5"/>
  <c r="P4" i="5" s="1"/>
  <c r="F5" i="5"/>
  <c r="P5" i="5" s="1"/>
  <c r="F6" i="5"/>
  <c r="P6" i="5" s="1"/>
  <c r="F7" i="5"/>
  <c r="P7" i="5" s="1"/>
  <c r="F8" i="5"/>
  <c r="P8" i="5" s="1"/>
  <c r="F9" i="5"/>
  <c r="P9" i="5" s="1"/>
  <c r="F10" i="5"/>
  <c r="P10" i="5" s="1"/>
  <c r="F11" i="5"/>
  <c r="P11" i="5" s="1"/>
  <c r="F12" i="5"/>
  <c r="P12" i="5" s="1"/>
  <c r="F13" i="5"/>
  <c r="P13" i="5" s="1"/>
  <c r="I36" i="1"/>
  <c r="K39" i="4" s="1"/>
  <c r="C2" i="3"/>
  <c r="G2" i="3"/>
  <c r="F4" i="3"/>
  <c r="P4" i="3" s="1"/>
  <c r="F6" i="3"/>
  <c r="P6" i="3" s="1"/>
  <c r="F7" i="3"/>
  <c r="P7" i="3" s="1"/>
  <c r="F8" i="3"/>
  <c r="P8" i="3" s="1"/>
  <c r="F9" i="3"/>
  <c r="P9" i="3" s="1"/>
  <c r="F10" i="3"/>
  <c r="P10" i="3" s="1"/>
  <c r="F11" i="3"/>
  <c r="P11" i="3" s="1"/>
  <c r="F12" i="3"/>
  <c r="F13" i="3"/>
  <c r="P13" i="3" s="1"/>
  <c r="J15" i="3"/>
  <c r="J17" i="3"/>
  <c r="J19" i="3"/>
  <c r="J21" i="3"/>
  <c r="F22" i="3"/>
  <c r="P22" i="3" s="1"/>
  <c r="F23" i="3"/>
  <c r="P23" i="3" s="1"/>
  <c r="F24" i="3"/>
  <c r="P24" i="3" s="1"/>
  <c r="F25" i="3"/>
  <c r="P25" i="3" s="1"/>
  <c r="F26" i="3"/>
  <c r="P26" i="3" s="1"/>
  <c r="F27" i="3"/>
  <c r="P27" i="3" s="1"/>
  <c r="F28" i="3"/>
  <c r="P28" i="3" s="1"/>
  <c r="F29" i="3"/>
  <c r="P29" i="3" s="1"/>
  <c r="F30" i="3"/>
  <c r="P30" i="3" s="1"/>
  <c r="F31" i="3"/>
  <c r="P31" i="3" s="1"/>
  <c r="J33" i="3"/>
  <c r="J35" i="3"/>
  <c r="J37" i="3"/>
  <c r="J39" i="3"/>
  <c r="J41" i="3"/>
  <c r="J43" i="3"/>
  <c r="F44" i="3"/>
  <c r="P44" i="3" s="1"/>
  <c r="F45" i="3"/>
  <c r="P45" i="3" s="1"/>
  <c r="F46" i="3"/>
  <c r="P46" i="3" s="1"/>
  <c r="F47" i="3"/>
  <c r="P47" i="3" s="1"/>
  <c r="F48" i="3"/>
  <c r="P48" i="3" s="1"/>
  <c r="F49" i="3"/>
  <c r="P49" i="3" s="1"/>
  <c r="F50" i="3"/>
  <c r="P50" i="3" s="1"/>
  <c r="F51" i="3"/>
  <c r="P51" i="3" s="1"/>
  <c r="F52" i="3"/>
  <c r="P52" i="3" s="1"/>
  <c r="F53" i="3"/>
  <c r="P53" i="3" s="1"/>
  <c r="J55" i="3"/>
  <c r="J57" i="3"/>
  <c r="J59" i="3"/>
  <c r="J61" i="3"/>
  <c r="F62" i="3"/>
  <c r="P62" i="3" s="1"/>
  <c r="F63" i="3"/>
  <c r="P63" i="3" s="1"/>
  <c r="F64" i="3"/>
  <c r="F65" i="3"/>
  <c r="F66" i="3"/>
  <c r="P66" i="3" s="1"/>
  <c r="F67" i="3"/>
  <c r="P67" i="3" s="1"/>
  <c r="F68" i="3"/>
  <c r="P68" i="3" s="1"/>
  <c r="F69" i="3"/>
  <c r="P69" i="3" s="1"/>
  <c r="F70" i="3"/>
  <c r="P70" i="3" s="1"/>
  <c r="F71" i="3"/>
  <c r="P71" i="3" s="1"/>
  <c r="J73" i="3"/>
  <c r="J75" i="3"/>
  <c r="J77" i="3"/>
  <c r="J79" i="3"/>
  <c r="J81" i="3"/>
  <c r="J83" i="3"/>
  <c r="J88" i="3"/>
  <c r="C2" i="4"/>
  <c r="G2" i="4"/>
  <c r="F4" i="4"/>
  <c r="P4" i="4" s="1"/>
  <c r="F5" i="4"/>
  <c r="P5" i="4" s="1"/>
  <c r="F6" i="4"/>
  <c r="P6" i="4" s="1"/>
  <c r="F7" i="4"/>
  <c r="P7" i="4" s="1"/>
  <c r="F8" i="4"/>
  <c r="P8" i="4" s="1"/>
  <c r="F9" i="4"/>
  <c r="P9" i="4" s="1"/>
  <c r="F10" i="4"/>
  <c r="P10" i="4" s="1"/>
  <c r="F11" i="4"/>
  <c r="P11" i="4" s="1"/>
  <c r="F12" i="4"/>
  <c r="P12" i="4" s="1"/>
  <c r="F13" i="4"/>
  <c r="P13" i="4" s="1"/>
  <c r="J15" i="4"/>
  <c r="J17" i="4"/>
  <c r="J19" i="4"/>
  <c r="J21" i="4"/>
  <c r="F22" i="4"/>
  <c r="P22" i="4" s="1"/>
  <c r="F23" i="4"/>
  <c r="F24" i="4"/>
  <c r="P24" i="4" s="1"/>
  <c r="F25" i="4"/>
  <c r="P25" i="4" s="1"/>
  <c r="F26" i="4"/>
  <c r="P26" i="4" s="1"/>
  <c r="F27" i="4"/>
  <c r="P27" i="4" s="1"/>
  <c r="F28" i="4"/>
  <c r="P28" i="4" s="1"/>
  <c r="F29" i="4"/>
  <c r="P29" i="4" s="1"/>
  <c r="F31" i="4"/>
  <c r="P31" i="4" s="1"/>
  <c r="J33" i="4"/>
  <c r="J35" i="4"/>
  <c r="J37" i="4"/>
  <c r="J39" i="4"/>
  <c r="J41" i="4"/>
  <c r="J43" i="4"/>
  <c r="F44" i="4"/>
  <c r="P44" i="4" s="1"/>
  <c r="F45" i="4"/>
  <c r="P45" i="4" s="1"/>
  <c r="F46" i="4"/>
  <c r="P46" i="4" s="1"/>
  <c r="F47" i="4"/>
  <c r="P47" i="4" s="1"/>
  <c r="F48" i="4"/>
  <c r="P48" i="4" s="1"/>
  <c r="F49" i="4"/>
  <c r="P49" i="4" s="1"/>
  <c r="F50" i="4"/>
  <c r="P50" i="4" s="1"/>
  <c r="F51" i="4"/>
  <c r="P51" i="4" s="1"/>
  <c r="F52" i="4"/>
  <c r="P52" i="4" s="1"/>
  <c r="F53" i="4"/>
  <c r="P53" i="4" s="1"/>
  <c r="J55" i="4"/>
  <c r="J57" i="4"/>
  <c r="J59" i="4"/>
  <c r="J61" i="4"/>
  <c r="F62" i="4"/>
  <c r="P62" i="4" s="1"/>
  <c r="F63" i="4"/>
  <c r="P63" i="4" s="1"/>
  <c r="F64" i="4"/>
  <c r="P64" i="4" s="1"/>
  <c r="F65" i="4"/>
  <c r="P65" i="4" s="1"/>
  <c r="F66" i="4"/>
  <c r="P66" i="4" s="1"/>
  <c r="F67" i="4"/>
  <c r="P67" i="4" s="1"/>
  <c r="F68" i="4"/>
  <c r="F69" i="4"/>
  <c r="P69" i="4" s="1"/>
  <c r="F70" i="4"/>
  <c r="P70" i="4" s="1"/>
  <c r="F71" i="4"/>
  <c r="P71" i="4" s="1"/>
  <c r="J73" i="4"/>
  <c r="J75" i="4"/>
  <c r="J77" i="4"/>
  <c r="J79" i="4"/>
  <c r="J81" i="4"/>
  <c r="J83" i="4"/>
  <c r="J88" i="4"/>
  <c r="C2" i="5"/>
  <c r="G2" i="5"/>
  <c r="J15" i="5"/>
  <c r="J17" i="5"/>
  <c r="J19" i="5"/>
  <c r="J21" i="5"/>
  <c r="F22" i="5"/>
  <c r="P22" i="5" s="1"/>
  <c r="F23" i="5"/>
  <c r="P23" i="5" s="1"/>
  <c r="F24" i="5"/>
  <c r="P24" i="5" s="1"/>
  <c r="F25" i="5"/>
  <c r="P25" i="5" s="1"/>
  <c r="F26" i="5"/>
  <c r="P26" i="5" s="1"/>
  <c r="F27" i="5"/>
  <c r="P27" i="5" s="1"/>
  <c r="F28" i="5"/>
  <c r="P28" i="5" s="1"/>
  <c r="F29" i="5"/>
  <c r="P29" i="5" s="1"/>
  <c r="F30" i="5"/>
  <c r="P30" i="5" s="1"/>
  <c r="F31" i="5"/>
  <c r="P31" i="5" s="1"/>
  <c r="J33" i="5"/>
  <c r="J35" i="5"/>
  <c r="J37" i="5"/>
  <c r="J39" i="5"/>
  <c r="J41" i="5"/>
  <c r="J43" i="5"/>
  <c r="F44" i="5"/>
  <c r="P44" i="5" s="1"/>
  <c r="F45" i="5"/>
  <c r="P45" i="5" s="1"/>
  <c r="F46" i="5"/>
  <c r="P46" i="5" s="1"/>
  <c r="F47" i="5"/>
  <c r="P47" i="5" s="1"/>
  <c r="F48" i="5"/>
  <c r="P48" i="5" s="1"/>
  <c r="F49" i="5"/>
  <c r="P49" i="5" s="1"/>
  <c r="F50" i="5"/>
  <c r="P50" i="5" s="1"/>
  <c r="F51" i="5"/>
  <c r="P51" i="5" s="1"/>
  <c r="F52" i="5"/>
  <c r="P52" i="5" s="1"/>
  <c r="F53" i="5"/>
  <c r="P53" i="5" s="1"/>
  <c r="J55" i="5"/>
  <c r="J57" i="5"/>
  <c r="J59" i="5"/>
  <c r="J61" i="5"/>
  <c r="F62" i="5"/>
  <c r="P62" i="5" s="1"/>
  <c r="F63" i="5"/>
  <c r="P63" i="5" s="1"/>
  <c r="F64" i="5"/>
  <c r="P64" i="5" s="1"/>
  <c r="F65" i="5"/>
  <c r="P65" i="5" s="1"/>
  <c r="F66" i="5"/>
  <c r="P66" i="5" s="1"/>
  <c r="F67" i="5"/>
  <c r="P67" i="5" s="1"/>
  <c r="F68" i="5"/>
  <c r="P68" i="5" s="1"/>
  <c r="F69" i="5"/>
  <c r="P69" i="5" s="1"/>
  <c r="F70" i="5"/>
  <c r="P70" i="5" s="1"/>
  <c r="F71" i="5"/>
  <c r="P71" i="5" s="1"/>
  <c r="J73" i="5"/>
  <c r="J75" i="5"/>
  <c r="J77" i="5"/>
  <c r="J79" i="5"/>
  <c r="J81" i="5"/>
  <c r="J83" i="5"/>
  <c r="J88" i="5"/>
  <c r="C2" i="6"/>
  <c r="G2" i="6"/>
  <c r="F4" i="6"/>
  <c r="P4" i="6" s="1"/>
  <c r="F5" i="6"/>
  <c r="P5" i="6" s="1"/>
  <c r="F6" i="6"/>
  <c r="P6" i="6" s="1"/>
  <c r="F7" i="6"/>
  <c r="F8" i="6"/>
  <c r="P8" i="6" s="1"/>
  <c r="F9" i="6"/>
  <c r="P9" i="6" s="1"/>
  <c r="F10" i="6"/>
  <c r="P10" i="6" s="1"/>
  <c r="F11" i="6"/>
  <c r="P11" i="6" s="1"/>
  <c r="F12" i="6"/>
  <c r="P12" i="6" s="1"/>
  <c r="F13" i="6"/>
  <c r="P13" i="6" s="1"/>
  <c r="J15" i="6"/>
  <c r="J17" i="6"/>
  <c r="J19" i="6"/>
  <c r="J21" i="6"/>
  <c r="F22" i="6"/>
  <c r="P22" i="6" s="1"/>
  <c r="F23" i="6"/>
  <c r="P23" i="6" s="1"/>
  <c r="F24" i="6"/>
  <c r="P24" i="6" s="1"/>
  <c r="F25" i="6"/>
  <c r="P25" i="6" s="1"/>
  <c r="F26" i="6"/>
  <c r="P26" i="6" s="1"/>
  <c r="F27" i="6"/>
  <c r="P27" i="6" s="1"/>
  <c r="F28" i="6"/>
  <c r="P28" i="6" s="1"/>
  <c r="F29" i="6"/>
  <c r="P29" i="6" s="1"/>
  <c r="F30" i="6"/>
  <c r="P30" i="6" s="1"/>
  <c r="F31" i="6"/>
  <c r="P31" i="6" s="1"/>
  <c r="J33" i="6"/>
  <c r="J35" i="6"/>
  <c r="J37" i="6"/>
  <c r="J39" i="6"/>
  <c r="J41" i="6"/>
  <c r="J43" i="6"/>
  <c r="F44" i="6"/>
  <c r="P44" i="6" s="1"/>
  <c r="F45" i="6"/>
  <c r="P45" i="6" s="1"/>
  <c r="F46" i="6"/>
  <c r="P46" i="6" s="1"/>
  <c r="F47" i="6"/>
  <c r="P47" i="6" s="1"/>
  <c r="F48" i="6"/>
  <c r="P48" i="6" s="1"/>
  <c r="F49" i="6"/>
  <c r="P49" i="6" s="1"/>
  <c r="F50" i="6"/>
  <c r="P50" i="6" s="1"/>
  <c r="F51" i="6"/>
  <c r="P51" i="6" s="1"/>
  <c r="F52" i="6"/>
  <c r="P52" i="6" s="1"/>
  <c r="F53" i="6"/>
  <c r="P53" i="6" s="1"/>
  <c r="J55" i="6"/>
  <c r="J57" i="6"/>
  <c r="J59" i="6"/>
  <c r="J61" i="6"/>
  <c r="F62" i="6"/>
  <c r="P62" i="6" s="1"/>
  <c r="F63" i="6"/>
  <c r="P63" i="6" s="1"/>
  <c r="F64" i="6"/>
  <c r="P64" i="6" s="1"/>
  <c r="F65" i="6"/>
  <c r="P65" i="6" s="1"/>
  <c r="F66" i="6"/>
  <c r="P66" i="6" s="1"/>
  <c r="F67" i="6"/>
  <c r="P67" i="6" s="1"/>
  <c r="F68" i="6"/>
  <c r="P68" i="6" s="1"/>
  <c r="F69" i="6"/>
  <c r="P69" i="6" s="1"/>
  <c r="F70" i="6"/>
  <c r="P70" i="6" s="1"/>
  <c r="F71" i="6"/>
  <c r="P71" i="6" s="1"/>
  <c r="J73" i="6"/>
  <c r="J75" i="6"/>
  <c r="J77" i="6"/>
  <c r="J79" i="6"/>
  <c r="J81" i="6"/>
  <c r="J83" i="6"/>
  <c r="J88" i="6"/>
  <c r="E9" i="1"/>
  <c r="F9" i="1" s="1"/>
  <c r="I9" i="1"/>
  <c r="K4" i="4" s="1"/>
  <c r="M9" i="1"/>
  <c r="N9" i="1" s="1"/>
  <c r="M10" i="1"/>
  <c r="K5" i="5" s="1"/>
  <c r="M11" i="1"/>
  <c r="K6" i="5" s="1"/>
  <c r="M12" i="1"/>
  <c r="M13" i="1"/>
  <c r="K8" i="5" s="1"/>
  <c r="M14" i="1"/>
  <c r="K9" i="5" s="1"/>
  <c r="M15" i="1"/>
  <c r="K10" i="5" s="1"/>
  <c r="M16" i="1"/>
  <c r="K11" i="5" s="1"/>
  <c r="M17" i="1"/>
  <c r="K12" i="5" s="1"/>
  <c r="M18" i="1"/>
  <c r="K13" i="5" s="1"/>
  <c r="M19" i="1"/>
  <c r="K15" i="5" s="1"/>
  <c r="M20" i="1"/>
  <c r="K17" i="5" s="1"/>
  <c r="M21" i="1"/>
  <c r="K19" i="5" s="1"/>
  <c r="M22" i="1"/>
  <c r="K21" i="5" s="1"/>
  <c r="M23" i="1"/>
  <c r="K22" i="5" s="1"/>
  <c r="M24" i="1"/>
  <c r="K23" i="5" s="1"/>
  <c r="M25" i="1"/>
  <c r="K24" i="5" s="1"/>
  <c r="M26" i="1"/>
  <c r="K25" i="5" s="1"/>
  <c r="M27" i="1"/>
  <c r="K26" i="5" s="1"/>
  <c r="M28" i="1"/>
  <c r="K27" i="5" s="1"/>
  <c r="M29" i="1"/>
  <c r="K28" i="5" s="1"/>
  <c r="M30" i="1"/>
  <c r="K29" i="5" s="1"/>
  <c r="M31" i="1"/>
  <c r="K30" i="5" s="1"/>
  <c r="M32" i="1"/>
  <c r="K31" i="5" s="1"/>
  <c r="M33" i="1"/>
  <c r="K33" i="5" s="1"/>
  <c r="M34" i="1"/>
  <c r="K35" i="5" s="1"/>
  <c r="M35" i="1"/>
  <c r="K37" i="5" s="1"/>
  <c r="M36" i="1"/>
  <c r="K39" i="5" s="1"/>
  <c r="M37" i="1"/>
  <c r="K41" i="5" s="1"/>
  <c r="M38" i="1"/>
  <c r="K43" i="5" s="1"/>
  <c r="M39" i="1"/>
  <c r="K44" i="5" s="1"/>
  <c r="M40" i="1"/>
  <c r="K45" i="5" s="1"/>
  <c r="M41" i="1"/>
  <c r="K46" i="5" s="1"/>
  <c r="M42" i="1"/>
  <c r="K47" i="5" s="1"/>
  <c r="M43" i="1"/>
  <c r="K48" i="5" s="1"/>
  <c r="M44" i="1"/>
  <c r="K49" i="5" s="1"/>
  <c r="M45" i="1"/>
  <c r="K50" i="5" s="1"/>
  <c r="M46" i="1"/>
  <c r="K51" i="5" s="1"/>
  <c r="M47" i="1"/>
  <c r="K52" i="5" s="1"/>
  <c r="M48" i="1"/>
  <c r="K53" i="5" s="1"/>
  <c r="M49" i="1"/>
  <c r="K55" i="5" s="1"/>
  <c r="M50" i="1"/>
  <c r="K57" i="5" s="1"/>
  <c r="M51" i="1"/>
  <c r="K59" i="5" s="1"/>
  <c r="M52" i="1"/>
  <c r="K61" i="5" s="1"/>
  <c r="M53" i="1"/>
  <c r="K62" i="5" s="1"/>
  <c r="M54" i="1"/>
  <c r="K63" i="5" s="1"/>
  <c r="M55" i="1"/>
  <c r="K64" i="5" s="1"/>
  <c r="M56" i="1"/>
  <c r="K65" i="5" s="1"/>
  <c r="M57" i="1"/>
  <c r="K66" i="5" s="1"/>
  <c r="M58" i="1"/>
  <c r="K67" i="5" s="1"/>
  <c r="M59" i="1"/>
  <c r="K68" i="5" s="1"/>
  <c r="M60" i="1"/>
  <c r="K69" i="5" s="1"/>
  <c r="M61" i="1"/>
  <c r="K70" i="5" s="1"/>
  <c r="M62" i="1"/>
  <c r="K71" i="5" s="1"/>
  <c r="M63" i="1"/>
  <c r="K73" i="5" s="1"/>
  <c r="M64" i="1"/>
  <c r="K75" i="5" s="1"/>
  <c r="M65" i="1"/>
  <c r="K77" i="5" s="1"/>
  <c r="M66" i="1"/>
  <c r="K79" i="5" s="1"/>
  <c r="M67" i="1"/>
  <c r="K81" i="5" s="1"/>
  <c r="M68" i="1"/>
  <c r="K83" i="5" s="1"/>
  <c r="M69" i="1"/>
  <c r="K88" i="5" s="1"/>
  <c r="Q9" i="1"/>
  <c r="K4" i="6" s="1"/>
  <c r="Q10" i="1"/>
  <c r="K5" i="6" s="1"/>
  <c r="Q11" i="1"/>
  <c r="K6" i="6" s="1"/>
  <c r="Q12" i="1"/>
  <c r="K7" i="6" s="1"/>
  <c r="Q13" i="1"/>
  <c r="K8" i="6" s="1"/>
  <c r="Q14" i="1"/>
  <c r="K9" i="6" s="1"/>
  <c r="Q15" i="1"/>
  <c r="K10" i="6" s="1"/>
  <c r="Q16" i="1"/>
  <c r="K11" i="6" s="1"/>
  <c r="Q17" i="1"/>
  <c r="K12" i="6" s="1"/>
  <c r="Q18" i="1"/>
  <c r="K13" i="6" s="1"/>
  <c r="Q19" i="1"/>
  <c r="K15" i="6" s="1"/>
  <c r="Q20" i="1"/>
  <c r="K17" i="6" s="1"/>
  <c r="Q21" i="1"/>
  <c r="K19" i="6" s="1"/>
  <c r="Q22" i="1"/>
  <c r="K21" i="6" s="1"/>
  <c r="Q23" i="1"/>
  <c r="K22" i="6" s="1"/>
  <c r="Q24" i="1"/>
  <c r="K23" i="6" s="1"/>
  <c r="Q25" i="1"/>
  <c r="K24" i="6" s="1"/>
  <c r="Q26" i="1"/>
  <c r="K25" i="6" s="1"/>
  <c r="Q27" i="1"/>
  <c r="K26" i="6" s="1"/>
  <c r="Q28" i="1"/>
  <c r="K27" i="6" s="1"/>
  <c r="Q29" i="1"/>
  <c r="K28" i="6" s="1"/>
  <c r="Q30" i="1"/>
  <c r="K29" i="6" s="1"/>
  <c r="Q31" i="1"/>
  <c r="K30" i="6" s="1"/>
  <c r="Q32" i="1"/>
  <c r="K31" i="6" s="1"/>
  <c r="Q33" i="1"/>
  <c r="K33" i="6" s="1"/>
  <c r="Q34" i="1"/>
  <c r="K35" i="6" s="1"/>
  <c r="Q35" i="1"/>
  <c r="K37" i="6" s="1"/>
  <c r="Q36" i="1"/>
  <c r="K39" i="6" s="1"/>
  <c r="Q37" i="1"/>
  <c r="K41" i="6" s="1"/>
  <c r="Q38" i="1"/>
  <c r="K43" i="6" s="1"/>
  <c r="Q39" i="1"/>
  <c r="K44" i="6" s="1"/>
  <c r="Q40" i="1"/>
  <c r="K45" i="6" s="1"/>
  <c r="Q41" i="1"/>
  <c r="K46" i="6" s="1"/>
  <c r="Q42" i="1"/>
  <c r="K47" i="6" s="1"/>
  <c r="Q43" i="1"/>
  <c r="K48" i="6" s="1"/>
  <c r="Q44" i="1"/>
  <c r="K49" i="6" s="1"/>
  <c r="Q45" i="1"/>
  <c r="K50" i="6" s="1"/>
  <c r="Q46" i="1"/>
  <c r="K51" i="6" s="1"/>
  <c r="Q47" i="1"/>
  <c r="K52" i="6" s="1"/>
  <c r="Q48" i="1"/>
  <c r="K53" i="6" s="1"/>
  <c r="Q49" i="1"/>
  <c r="K55" i="6" s="1"/>
  <c r="Q50" i="1"/>
  <c r="K57" i="6" s="1"/>
  <c r="Q51" i="1"/>
  <c r="K59" i="6" s="1"/>
  <c r="Q52" i="1"/>
  <c r="K61" i="6" s="1"/>
  <c r="Q53" i="1"/>
  <c r="K62" i="6" s="1"/>
  <c r="Q54" i="1"/>
  <c r="K63" i="6" s="1"/>
  <c r="Q55" i="1"/>
  <c r="K64" i="6" s="1"/>
  <c r="Q56" i="1"/>
  <c r="K65" i="6" s="1"/>
  <c r="Q57" i="1"/>
  <c r="K66" i="6" s="1"/>
  <c r="Q58" i="1"/>
  <c r="K67" i="6" s="1"/>
  <c r="Q59" i="1"/>
  <c r="K68" i="6" s="1"/>
  <c r="Q60" i="1"/>
  <c r="K69" i="6" s="1"/>
  <c r="Q61" i="1"/>
  <c r="K70" i="6" s="1"/>
  <c r="Q62" i="1"/>
  <c r="K71" i="6" s="1"/>
  <c r="Q63" i="1"/>
  <c r="K73" i="6" s="1"/>
  <c r="Q64" i="1"/>
  <c r="K75" i="6" s="1"/>
  <c r="Q65" i="1"/>
  <c r="K77" i="6" s="1"/>
  <c r="Q66" i="1"/>
  <c r="K79" i="6" s="1"/>
  <c r="Q67" i="1"/>
  <c r="K81" i="6" s="1"/>
  <c r="Q68" i="1"/>
  <c r="K83" i="6" s="1"/>
  <c r="Q69" i="1"/>
  <c r="K88" i="6" s="1"/>
  <c r="E10" i="1"/>
  <c r="K5" i="3" s="1"/>
  <c r="I10" i="1"/>
  <c r="E11" i="1"/>
  <c r="K6" i="3" s="1"/>
  <c r="I11" i="1"/>
  <c r="K6" i="4" s="1"/>
  <c r="E12" i="1"/>
  <c r="K7" i="3" s="1"/>
  <c r="I12" i="1"/>
  <c r="K7" i="4" s="1"/>
  <c r="E13" i="1"/>
  <c r="K8" i="3" s="1"/>
  <c r="I13" i="1"/>
  <c r="K8" i="4" s="1"/>
  <c r="E14" i="1"/>
  <c r="K9" i="3" s="1"/>
  <c r="I14" i="1"/>
  <c r="K9" i="4" s="1"/>
  <c r="E15" i="1"/>
  <c r="K10" i="3" s="1"/>
  <c r="I15" i="1"/>
  <c r="K10" i="4" s="1"/>
  <c r="E16" i="1"/>
  <c r="K11" i="3" s="1"/>
  <c r="I16" i="1"/>
  <c r="K11" i="4" s="1"/>
  <c r="E17" i="1"/>
  <c r="K12" i="3" s="1"/>
  <c r="I17" i="1"/>
  <c r="K12" i="4" s="1"/>
  <c r="E18" i="1"/>
  <c r="K13" i="3" s="1"/>
  <c r="I18" i="1"/>
  <c r="K13" i="4" s="1"/>
  <c r="E19" i="1"/>
  <c r="K15" i="3" s="1"/>
  <c r="I19" i="1"/>
  <c r="K15" i="4" s="1"/>
  <c r="E20" i="1"/>
  <c r="K17" i="3" s="1"/>
  <c r="I20" i="1"/>
  <c r="K17" i="4" s="1"/>
  <c r="E21" i="1"/>
  <c r="K19" i="3" s="1"/>
  <c r="I21" i="1"/>
  <c r="K19" i="4" s="1"/>
  <c r="E22" i="1"/>
  <c r="K21" i="3" s="1"/>
  <c r="I22" i="1"/>
  <c r="K21" i="4" s="1"/>
  <c r="E23" i="1"/>
  <c r="K22" i="3" s="1"/>
  <c r="I23" i="1"/>
  <c r="K22" i="4" s="1"/>
  <c r="E24" i="1"/>
  <c r="K23" i="3" s="1"/>
  <c r="I24" i="1"/>
  <c r="K23" i="4" s="1"/>
  <c r="E25" i="1"/>
  <c r="K24" i="3" s="1"/>
  <c r="I25" i="1"/>
  <c r="K24" i="4" s="1"/>
  <c r="E26" i="1"/>
  <c r="K25" i="3" s="1"/>
  <c r="I26" i="1"/>
  <c r="K25" i="4" s="1"/>
  <c r="E27" i="1"/>
  <c r="K26" i="3" s="1"/>
  <c r="I27" i="1"/>
  <c r="K26" i="4" s="1"/>
  <c r="E28" i="1"/>
  <c r="K27" i="3" s="1"/>
  <c r="I28" i="1"/>
  <c r="K27" i="4" s="1"/>
  <c r="E29" i="1"/>
  <c r="K28" i="3" s="1"/>
  <c r="I29" i="1"/>
  <c r="K28" i="4" s="1"/>
  <c r="E30" i="1"/>
  <c r="K29" i="3" s="1"/>
  <c r="I30" i="1"/>
  <c r="K29" i="4" s="1"/>
  <c r="E31" i="1"/>
  <c r="K30" i="3" s="1"/>
  <c r="I31" i="1"/>
  <c r="K30" i="4" s="1"/>
  <c r="E32" i="1"/>
  <c r="K31" i="3" s="1"/>
  <c r="I32" i="1"/>
  <c r="K31" i="4" s="1"/>
  <c r="E33" i="1"/>
  <c r="K33" i="3" s="1"/>
  <c r="I33" i="1"/>
  <c r="K33" i="4" s="1"/>
  <c r="E34" i="1"/>
  <c r="K35" i="3" s="1"/>
  <c r="I34" i="1"/>
  <c r="K35" i="4" s="1"/>
  <c r="E35" i="1"/>
  <c r="K37" i="3" s="1"/>
  <c r="I35" i="1"/>
  <c r="K37" i="4" s="1"/>
  <c r="E36" i="1"/>
  <c r="K39" i="3" s="1"/>
  <c r="E37" i="1"/>
  <c r="K41" i="3" s="1"/>
  <c r="I37" i="1"/>
  <c r="K41" i="4" s="1"/>
  <c r="E38" i="1"/>
  <c r="K43" i="3" s="1"/>
  <c r="I38" i="1"/>
  <c r="K43" i="4" s="1"/>
  <c r="I39" i="1"/>
  <c r="K44" i="4" s="1"/>
  <c r="E40" i="1"/>
  <c r="K45" i="3" s="1"/>
  <c r="I40" i="1"/>
  <c r="K45" i="4" s="1"/>
  <c r="E42" i="1"/>
  <c r="K47" i="3" s="1"/>
  <c r="I42" i="1"/>
  <c r="K47" i="4" s="1"/>
  <c r="E43" i="1"/>
  <c r="K48" i="3" s="1"/>
  <c r="I43" i="1"/>
  <c r="K48" i="4" s="1"/>
  <c r="E44" i="1"/>
  <c r="K49" i="3" s="1"/>
  <c r="I44" i="1"/>
  <c r="K49" i="4" s="1"/>
  <c r="E45" i="1"/>
  <c r="K50" i="3" s="1"/>
  <c r="I45" i="1"/>
  <c r="K50" i="4" s="1"/>
  <c r="E46" i="1"/>
  <c r="K51" i="3" s="1"/>
  <c r="I46" i="1"/>
  <c r="K51" i="4" s="1"/>
  <c r="E47" i="1"/>
  <c r="K52" i="3" s="1"/>
  <c r="I47" i="1"/>
  <c r="K52" i="4" s="1"/>
  <c r="E48" i="1"/>
  <c r="K53" i="3" s="1"/>
  <c r="I48" i="1"/>
  <c r="K53" i="4" s="1"/>
  <c r="E49" i="1"/>
  <c r="K55" i="3" s="1"/>
  <c r="I49" i="1"/>
  <c r="K55" i="4" s="1"/>
  <c r="E50" i="1"/>
  <c r="K57" i="3" s="1"/>
  <c r="I50" i="1"/>
  <c r="K57" i="4" s="1"/>
  <c r="E51" i="1"/>
  <c r="K59" i="3" s="1"/>
  <c r="I51" i="1"/>
  <c r="K59" i="4" s="1"/>
  <c r="E52" i="1"/>
  <c r="K61" i="3" s="1"/>
  <c r="I52" i="1"/>
  <c r="K61" i="4" s="1"/>
  <c r="E53" i="1"/>
  <c r="K62" i="3" s="1"/>
  <c r="I53" i="1"/>
  <c r="K62" i="4" s="1"/>
  <c r="E54" i="1"/>
  <c r="K63" i="3" s="1"/>
  <c r="I54" i="1"/>
  <c r="K63" i="4" s="1"/>
  <c r="E55" i="1"/>
  <c r="K64" i="3" s="1"/>
  <c r="I55" i="1"/>
  <c r="K64" i="4" s="1"/>
  <c r="E56" i="1"/>
  <c r="K65" i="3" s="1"/>
  <c r="I56" i="1"/>
  <c r="K65" i="4" s="1"/>
  <c r="E57" i="1"/>
  <c r="K66" i="3" s="1"/>
  <c r="I57" i="1"/>
  <c r="K66" i="4" s="1"/>
  <c r="E58" i="1"/>
  <c r="K67" i="3" s="1"/>
  <c r="I58" i="1"/>
  <c r="K67" i="4" s="1"/>
  <c r="E59" i="1"/>
  <c r="K68" i="3" s="1"/>
  <c r="I59" i="1"/>
  <c r="K68" i="4" s="1"/>
  <c r="E60" i="1"/>
  <c r="K69" i="3" s="1"/>
  <c r="I60" i="1"/>
  <c r="K69" i="4" s="1"/>
  <c r="E61" i="1"/>
  <c r="K70" i="3" s="1"/>
  <c r="I61" i="1"/>
  <c r="K70" i="4" s="1"/>
  <c r="E62" i="1"/>
  <c r="K71" i="3" s="1"/>
  <c r="I62" i="1"/>
  <c r="K71" i="4" s="1"/>
  <c r="E63" i="1"/>
  <c r="K73" i="3" s="1"/>
  <c r="I63" i="1"/>
  <c r="K73" i="4" s="1"/>
  <c r="E64" i="1"/>
  <c r="K75" i="3" s="1"/>
  <c r="I64" i="1"/>
  <c r="K75" i="4" s="1"/>
  <c r="E65" i="1"/>
  <c r="K77" i="3" s="1"/>
  <c r="I65" i="1"/>
  <c r="K77" i="4" s="1"/>
  <c r="E66" i="1"/>
  <c r="K79" i="3" s="1"/>
  <c r="I66" i="1"/>
  <c r="K79" i="4" s="1"/>
  <c r="E67" i="1"/>
  <c r="K81" i="3" s="1"/>
  <c r="I67" i="1"/>
  <c r="K81" i="4" s="1"/>
  <c r="I68" i="1"/>
  <c r="K83" i="4" s="1"/>
  <c r="E69" i="1"/>
  <c r="K88" i="3" s="1"/>
  <c r="I69" i="1"/>
  <c r="K88" i="4" s="1"/>
  <c r="D77" i="1"/>
  <c r="U87" i="1" s="1"/>
  <c r="H77" i="1"/>
  <c r="V87" i="1" s="1"/>
  <c r="L77" i="1"/>
  <c r="W87" i="1" s="1"/>
  <c r="P77" i="1"/>
  <c r="X87" i="1" s="1"/>
  <c r="D78" i="1"/>
  <c r="U88" i="1" s="1"/>
  <c r="H78" i="1"/>
  <c r="V88" i="1" s="1"/>
  <c r="L78" i="1"/>
  <c r="W88" i="1" s="1"/>
  <c r="P78" i="1"/>
  <c r="D79" i="1"/>
  <c r="U89" i="1" s="1"/>
  <c r="H79" i="1"/>
  <c r="V89" i="1" s="1"/>
  <c r="L79" i="1"/>
  <c r="W89" i="1" s="1"/>
  <c r="P79" i="1"/>
  <c r="X89" i="1" s="1"/>
  <c r="D80" i="1"/>
  <c r="U90" i="1" s="1"/>
  <c r="H80" i="1"/>
  <c r="V90" i="1" s="1"/>
  <c r="L80" i="1"/>
  <c r="W90" i="1" s="1"/>
  <c r="L81" i="1"/>
  <c r="W91" i="1" s="1"/>
  <c r="L82" i="1"/>
  <c r="W92" i="1" s="1"/>
  <c r="L83" i="1"/>
  <c r="W93" i="1" s="1"/>
  <c r="P80" i="1"/>
  <c r="X90" i="1" s="1"/>
  <c r="D81" i="1"/>
  <c r="U91" i="1" s="1"/>
  <c r="H81" i="1"/>
  <c r="V91" i="1" s="1"/>
  <c r="P81" i="1"/>
  <c r="X91" i="1" s="1"/>
  <c r="D82" i="1"/>
  <c r="U92" i="1" s="1"/>
  <c r="H82" i="1"/>
  <c r="V92" i="1" s="1"/>
  <c r="P82" i="1"/>
  <c r="X92" i="1" s="1"/>
  <c r="D83" i="1"/>
  <c r="U93" i="1" s="1"/>
  <c r="H83" i="1"/>
  <c r="V93" i="1" s="1"/>
  <c r="P83" i="1"/>
  <c r="X93" i="1" s="1"/>
  <c r="U86" i="1"/>
  <c r="G1" i="3" s="1"/>
  <c r="O2" i="7" s="1"/>
  <c r="V86" i="1"/>
  <c r="G1" i="4"/>
  <c r="P2" i="7" s="1"/>
  <c r="W86" i="1"/>
  <c r="G1" i="5" s="1"/>
  <c r="Q2" i="7" s="1"/>
  <c r="X86" i="1"/>
  <c r="G1" i="6" s="1"/>
  <c r="R2" i="7" s="1"/>
  <c r="C2" i="7"/>
  <c r="G2" i="7"/>
  <c r="O4" i="7"/>
  <c r="P4" i="7"/>
  <c r="Q4" i="7"/>
  <c r="P5" i="7"/>
  <c r="Q5" i="7"/>
  <c r="P6" i="7"/>
  <c r="Q6" i="7"/>
  <c r="P7" i="7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Q19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Q33" i="7"/>
  <c r="Q35" i="7"/>
  <c r="P36" i="7"/>
  <c r="Q36" i="7"/>
  <c r="P37" i="7"/>
  <c r="Q37" i="7"/>
  <c r="Q39" i="7"/>
  <c r="Q41" i="7"/>
  <c r="Q42" i="7"/>
  <c r="Q43" i="7"/>
  <c r="P44" i="7"/>
  <c r="Q44" i="7"/>
  <c r="Q53" i="7"/>
  <c r="P61" i="7"/>
  <c r="Q61" i="7"/>
  <c r="P62" i="7"/>
  <c r="Q62" i="7"/>
  <c r="P63" i="7"/>
  <c r="Q63" i="7"/>
  <c r="P64" i="7"/>
  <c r="Q64" i="7"/>
  <c r="P65" i="7"/>
  <c r="Q65" i="7"/>
  <c r="P66" i="7"/>
  <c r="Q66" i="7"/>
  <c r="P67" i="7"/>
  <c r="Q67" i="7"/>
  <c r="P68" i="7"/>
  <c r="Q68" i="7"/>
  <c r="P69" i="7"/>
  <c r="Q69" i="7"/>
  <c r="P71" i="7"/>
  <c r="Q71" i="7"/>
  <c r="C3" i="2"/>
  <c r="L3" i="2"/>
  <c r="C6" i="2"/>
  <c r="G6" i="2"/>
  <c r="K6" i="2"/>
  <c r="O6" i="2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K7" i="5"/>
  <c r="K5" i="4"/>
  <c r="K4" i="3"/>
  <c r="J37" i="1" l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G71" i="1" s="1"/>
  <c r="K4" i="5"/>
  <c r="K89" i="5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O71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K71" i="1" s="1"/>
  <c r="K73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C71" i="1" s="1"/>
  <c r="C73" i="1" s="1"/>
  <c r="K89" i="6"/>
  <c r="K89" i="4"/>
  <c r="K89" i="3"/>
  <c r="L84" i="1"/>
  <c r="S78" i="1"/>
  <c r="P84" i="1"/>
  <c r="S77" i="1"/>
  <c r="X88" i="1"/>
  <c r="S80" i="1"/>
  <c r="S79" i="1"/>
  <c r="H84" i="1"/>
  <c r="S82" i="1"/>
  <c r="D84" i="1"/>
  <c r="S83" i="1"/>
  <c r="S81" i="1"/>
  <c r="C8" i="2" l="1"/>
  <c r="O73" i="1"/>
  <c r="O8" i="2"/>
  <c r="D92" i="1"/>
  <c r="K8" i="2"/>
  <c r="D89" i="1"/>
  <c r="S84" i="1"/>
  <c r="G73" i="1"/>
  <c r="G8" i="2"/>
  <c r="D90" i="1"/>
  <c r="D91" i="1"/>
  <c r="K72" i="1" l="1"/>
  <c r="K9" i="2" s="1"/>
  <c r="C72" i="1"/>
  <c r="C9" i="2" s="1"/>
  <c r="G72" i="1"/>
  <c r="G9" i="2" s="1"/>
  <c r="O72" i="1"/>
  <c r="O9" i="2" s="1"/>
</calcChain>
</file>

<file path=xl/sharedStrings.xml><?xml version="1.0" encoding="utf-8"?>
<sst xmlns="http://schemas.openxmlformats.org/spreadsheetml/2006/main" count="2127" uniqueCount="584">
  <si>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</si>
  <si>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</si>
  <si>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</si>
  <si>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</si>
  <si>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</si>
  <si>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</si>
  <si>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</si>
  <si>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</si>
  <si>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</si>
  <si>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</si>
  <si>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</si>
  <si>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</si>
  <si>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</si>
  <si>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</si>
  <si>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</si>
  <si>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</si>
  <si>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</si>
  <si>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</si>
  <si>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</si>
  <si>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</si>
  <si>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</si>
  <si>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</si>
  <si>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</si>
  <si>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</si>
  <si>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</si>
  <si>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</si>
  <si>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</si>
  <si>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</si>
  <si>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</si>
  <si>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</si>
  <si>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</si>
  <si>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</si>
  <si>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</si>
  <si>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</si>
  <si>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</si>
  <si>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</si>
  <si>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</si>
  <si>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</si>
  <si>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</si>
  <si>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</si>
  <si>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</si>
  <si>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9 &amp; 10 years    4x1 Freestyle Relay</t>
  </si>
  <si>
    <t>Boys 9 &amp; 10 years    4x1 Freestyle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</si>
  <si>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</si>
  <si>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</si>
  <si>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</si>
  <si>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</si>
  <si>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</si>
  <si>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</si>
  <si>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</si>
  <si>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</si>
  <si>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</si>
  <si>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</si>
  <si>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</si>
  <si>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</si>
  <si>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</si>
  <si>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</si>
  <si>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</si>
  <si>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</si>
  <si>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</si>
  <si>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</si>
  <si>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</si>
  <si>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</si>
  <si>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9 &amp; 10 years 4x1 Medley Relay</t>
  </si>
  <si>
    <t>Boys 9 &amp; 10 years 4x1 Medley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</si>
  <si>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</si>
  <si>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</si>
  <si>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</si>
  <si>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</si>
  <si>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</si>
  <si>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</si>
  <si>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</si>
  <si>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</si>
  <si>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</si>
  <si>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</si>
  <si>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</si>
  <si>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</si>
  <si>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</si>
  <si>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</si>
  <si>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</si>
  <si>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</si>
  <si>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</si>
  <si>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</si>
  <si>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</si>
  <si>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</si>
  <si>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</si>
  <si>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</si>
  <si>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</si>
  <si>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</si>
  <si>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</si>
  <si>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</si>
  <si>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</si>
  <si>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</si>
  <si>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</si>
  <si>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</si>
  <si>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</si>
  <si>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</si>
  <si>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</si>
  <si>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</si>
  <si>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</si>
  <si>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</si>
  <si>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</si>
  <si>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</si>
  <si>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</si>
  <si>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</si>
  <si>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</si>
  <si>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</si>
  <si>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</si>
  <si>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</si>
  <si>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</si>
  <si>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</si>
  <si>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</si>
  <si>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</si>
  <si>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</si>
  <si>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</si>
  <si>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</si>
  <si>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</si>
  <si>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</si>
  <si>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</si>
  <si>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</si>
  <si>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</si>
  <si>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</si>
  <si>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</si>
  <si>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</si>
  <si>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</si>
  <si>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</si>
  <si>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</si>
  <si>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</si>
  <si>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</si>
  <si>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</si>
  <si>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</si>
  <si>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</si>
  <si>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</si>
  <si>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</si>
  <si>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</si>
  <si>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</si>
  <si>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</si>
  <si>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</si>
  <si>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</si>
  <si>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</si>
  <si>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</si>
  <si>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</si>
  <si>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</si>
  <si>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</si>
  <si>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</si>
  <si>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</si>
  <si>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</si>
  <si>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</si>
  <si>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</si>
  <si>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</si>
  <si>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>Stokesley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</si>
  <si>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</si>
  <si>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</si>
  <si>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</si>
  <si>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</si>
  <si>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</si>
  <si>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</si>
  <si>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</si>
  <si>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</si>
  <si>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</si>
  <si>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</si>
  <si>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</si>
  <si>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</si>
  <si>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</si>
  <si>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</si>
  <si>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</si>
  <si>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Simon Littlefair-Dryden</t>
  </si>
  <si>
    <t>James Wyllie</t>
  </si>
  <si>
    <t>Katie Thompson</t>
  </si>
  <si>
    <t>1.07.25</t>
  </si>
  <si>
    <t>1.07.48</t>
  </si>
  <si>
    <t>1.02.05</t>
  </si>
  <si>
    <t>Changes to Teams</t>
  </si>
  <si>
    <t>Team</t>
  </si>
  <si>
    <t>Event</t>
  </si>
  <si>
    <t>Swimmer</t>
  </si>
  <si>
    <t>1.04.59</t>
  </si>
  <si>
    <t>Elijah Stannard</t>
  </si>
  <si>
    <t>1.01.25</t>
  </si>
  <si>
    <t>Simon Dryden</t>
  </si>
  <si>
    <t>Ethan Stannard</t>
  </si>
  <si>
    <t>Manual</t>
  </si>
  <si>
    <t>Diff</t>
  </si>
  <si>
    <t>4 X 2 MEDLEY</t>
  </si>
  <si>
    <t>4 X 2 F/C</t>
  </si>
  <si>
    <t>10 X 2 F/C</t>
  </si>
  <si>
    <t>4 x 2 FS</t>
  </si>
  <si>
    <t>Girls 13 &amp; 14 years 4x2  Medley Relay</t>
  </si>
  <si>
    <t>Boys 13 &amp; 14 years 4x2  Medley Relay</t>
  </si>
  <si>
    <t>Girls 15&amp;16 years  4x2 Medley Relay</t>
  </si>
  <si>
    <t>Boys 15&amp;16 years  4x2 Medley Relay</t>
  </si>
  <si>
    <t>Boys 11 &amp; 12 years 4x2 Medley Relay</t>
  </si>
  <si>
    <t>Girls 11 &amp; 12 years 4x2 Medley Relay</t>
  </si>
  <si>
    <t>Boys Open 4x2 Freestyle Relay</t>
  </si>
  <si>
    <t>Girls Open 4x2 Freestyle Relay</t>
  </si>
  <si>
    <t>Girls 13 &amp; 14 years 4x2 Freestyle Relay</t>
  </si>
  <si>
    <t>Boys 13 &amp; 14 years 4x2 Freestyle Relay</t>
  </si>
  <si>
    <t>Boys 15 &amp; 16 years 4x2 Freestyle Relay</t>
  </si>
  <si>
    <t>Girls 15 &amp; 16 years 4x2 Freestyle Relay</t>
  </si>
  <si>
    <t>Mixed Canon         10x2 Freestyle Relay</t>
  </si>
  <si>
    <t>Girls Open               4x2 Medley Relay</t>
  </si>
  <si>
    <t>Boys Open               4x2 Medley Relay</t>
  </si>
  <si>
    <t>Girls 11 &amp; 12 years 4x2 Freestyle Relay</t>
  </si>
  <si>
    <t>Boys 11 &amp; 12 years 4x2 Freestyle Relay</t>
  </si>
  <si>
    <t>Ethan Buchanan</t>
  </si>
  <si>
    <t>Ryan Woodcock</t>
  </si>
  <si>
    <t>Sam Leyland</t>
  </si>
  <si>
    <t>Louie Lynch</t>
  </si>
  <si>
    <t>Finlay Buchanan</t>
  </si>
  <si>
    <t>Samuel Hill</t>
  </si>
  <si>
    <t>Nathan Forster</t>
  </si>
  <si>
    <t>2.16.62</t>
  </si>
  <si>
    <t>2.05.25</t>
  </si>
  <si>
    <t>2.05.77</t>
  </si>
  <si>
    <t>1.54.46</t>
  </si>
  <si>
    <t>Swimmer 1</t>
  </si>
  <si>
    <t>Swimmer 2</t>
  </si>
  <si>
    <t>Swimmer 3</t>
  </si>
  <si>
    <t>Swimmer 4</t>
  </si>
  <si>
    <t>Free</t>
  </si>
  <si>
    <t>Club</t>
  </si>
  <si>
    <t>4 x 25m</t>
  </si>
  <si>
    <t>4 x 50m</t>
  </si>
  <si>
    <t>10x2</t>
  </si>
  <si>
    <t>Relay</t>
  </si>
  <si>
    <t>2.14.38</t>
  </si>
  <si>
    <t>1.41.74</t>
  </si>
  <si>
    <t>2.38.89</t>
  </si>
  <si>
    <t>1.52.81</t>
  </si>
  <si>
    <t>50m Relay Teams</t>
  </si>
  <si>
    <t>Hannah Takacs</t>
  </si>
  <si>
    <t>Tiana Welikela</t>
  </si>
  <si>
    <t>Luke Richardson</t>
  </si>
  <si>
    <t>Scarlett Capaldi</t>
  </si>
  <si>
    <t>Olivia Felgate</t>
  </si>
  <si>
    <t>Olivia Wildridge</t>
  </si>
  <si>
    <t>Sophie Cree</t>
  </si>
  <si>
    <t>Emily Schofield</t>
  </si>
  <si>
    <t>Sefi Ormston</t>
  </si>
  <si>
    <t>Millie Cree</t>
  </si>
  <si>
    <t>Elija Stannard</t>
  </si>
  <si>
    <t>2.38.39</t>
  </si>
  <si>
    <t>Maisie Morris</t>
  </si>
  <si>
    <t>Charlie Schofield</t>
  </si>
  <si>
    <r>
      <rPr>
        <sz val="9"/>
        <rFont val="Arial"/>
        <family val="2"/>
      </rPr>
      <t>SW Ref</t>
    </r>
  </si>
  <si>
    <r>
      <rPr>
        <sz val="9"/>
        <rFont val="Arial"/>
        <family val="2"/>
      </rPr>
      <t>START</t>
    </r>
  </si>
  <si>
    <r>
      <rPr>
        <sz val="9"/>
        <rFont val="Arial"/>
        <family val="2"/>
      </rPr>
      <t>FREESTYLE</t>
    </r>
  </si>
  <si>
    <r>
      <rPr>
        <sz val="9"/>
        <rFont val="Arial"/>
        <family val="2"/>
      </rPr>
      <t xml:space="preserve">Did not touch wall at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</t>
    </r>
  </si>
  <si>
    <r>
      <rPr>
        <sz val="9"/>
        <rFont val="Arial"/>
        <family val="2"/>
      </rPr>
      <t xml:space="preserve">Head did not break surface at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before 15m mark following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</t>
    </r>
  </si>
  <si>
    <r>
      <rPr>
        <sz val="9"/>
        <rFont val="Arial"/>
        <family val="2"/>
      </rPr>
      <t>BACKSTROKE</t>
    </r>
  </si>
  <si>
    <r>
      <rPr>
        <sz val="9"/>
        <rFont val="Arial"/>
        <family val="2"/>
      </rPr>
      <t xml:space="preserve">Both hands not holding starting grips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standing in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on the gutter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bending the toes over the lip of the gutter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top of the touchpad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feet not in contact with the wall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touchpad face.</t>
    </r>
  </si>
  <si>
    <r>
      <rPr>
        <sz val="9"/>
        <rFont val="Arial"/>
        <family val="2"/>
      </rPr>
      <t xml:space="preserve">Totally submerged, (except for first 15m following the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turn) during the race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at the finish</t>
    </r>
  </si>
  <si>
    <r>
      <rPr>
        <sz val="9"/>
        <rFont val="Arial"/>
        <family val="2"/>
      </rPr>
      <t>Did not touch the wall during the turn</t>
    </r>
  </si>
  <si>
    <r>
      <rPr>
        <sz val="9"/>
        <rFont val="Arial"/>
        <family val="2"/>
      </rPr>
      <t xml:space="preserve">More than one single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double simultaneous arm pull used to initiate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not performed immediately</t>
    </r>
  </si>
  <si>
    <r>
      <rPr>
        <sz val="9"/>
        <rFont val="Arial"/>
        <family val="2"/>
      </rPr>
      <t>BREASTSTROKE</t>
    </r>
  </si>
  <si>
    <r>
      <rPr>
        <sz val="9"/>
        <rFont val="Arial"/>
        <family val="2"/>
      </rPr>
      <t>Feet not turned out during the propulsive part of the kick</t>
    </r>
  </si>
  <si>
    <r>
      <rPr>
        <sz val="9"/>
        <rFont val="Arial"/>
        <family val="2"/>
      </rPr>
      <t>BUTTERFLY</t>
    </r>
  </si>
  <si>
    <r>
      <rPr>
        <sz val="9"/>
        <rFont val="Arial"/>
        <family val="2"/>
      </rPr>
      <t xml:space="preserve">More than one arm pull under water (following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turn)</t>
    </r>
  </si>
  <si>
    <r>
      <rPr>
        <sz val="9"/>
        <rFont val="Arial"/>
        <family val="2"/>
      </rPr>
      <t>MEDLEY</t>
    </r>
  </si>
  <si>
    <r>
      <rPr>
        <sz val="9"/>
        <rFont val="Arial"/>
        <family val="2"/>
      </rPr>
      <t>THE RACE &amp; RELAYS</t>
    </r>
  </si>
  <si>
    <r>
      <rPr>
        <sz val="9"/>
        <rFont val="Arial"/>
        <family val="2"/>
      </rPr>
      <t xml:space="preserve">Fewer than four in a relay team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team not (2 x men, 2 x women)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team members not registered with same club (MSW 4.1)</t>
    </r>
  </si>
  <si>
    <t>6.4.1</t>
  </si>
  <si>
    <t>6.4.2</t>
  </si>
  <si>
    <t>6.4.3</t>
  </si>
  <si>
    <t>5.3.1</t>
  </si>
  <si>
    <t>5.3.2</t>
  </si>
  <si>
    <t>7.1.1</t>
  </si>
  <si>
    <t>7.1.2</t>
  </si>
  <si>
    <t>7.2.1</t>
  </si>
  <si>
    <t>7.2.2</t>
  </si>
  <si>
    <t>7.2.3</t>
  </si>
  <si>
    <t>7.3.1</t>
  </si>
  <si>
    <t>7.3.2</t>
  </si>
  <si>
    <t>7.3.3</t>
  </si>
  <si>
    <t>7.4.1</t>
  </si>
  <si>
    <t>7.4.2</t>
  </si>
  <si>
    <t>7.5.1</t>
  </si>
  <si>
    <t>7.5.2</t>
  </si>
  <si>
    <t>8.2.1</t>
  </si>
  <si>
    <t>8.2.2</t>
  </si>
  <si>
    <t>8.3.1</t>
  </si>
  <si>
    <t>8.3.2</t>
  </si>
  <si>
    <t>8.5.1</t>
  </si>
  <si>
    <t>8.5.2</t>
  </si>
  <si>
    <t>DQ RULE</t>
  </si>
  <si>
    <t>DQ Wording</t>
  </si>
  <si>
    <t>Details</t>
  </si>
  <si>
    <t>Seb Emmerson</t>
  </si>
  <si>
    <t>Emma Gettings</t>
  </si>
  <si>
    <t>Isobelle Martin</t>
  </si>
  <si>
    <t>Elja Stannard</t>
  </si>
  <si>
    <t>George Linacre</t>
  </si>
  <si>
    <t>Stephen Gittins</t>
  </si>
  <si>
    <t>George Gittins</t>
  </si>
  <si>
    <t>Ava McGurk</t>
  </si>
  <si>
    <t>Beatrix Allcock</t>
  </si>
  <si>
    <t>Christian Cornell</t>
  </si>
  <si>
    <t>Gut Wilkinson</t>
  </si>
  <si>
    <t>2.21.32</t>
  </si>
  <si>
    <t>2.22.24</t>
  </si>
  <si>
    <t>2.19.63</t>
  </si>
  <si>
    <t>2.07.33</t>
  </si>
  <si>
    <t>5.22.29</t>
  </si>
  <si>
    <t>Ella McNiell</t>
  </si>
  <si>
    <t>2.21.23</t>
  </si>
  <si>
    <t>Initiating Start before the signal</t>
  </si>
  <si>
    <t>Completely submerged during the Stroke</t>
  </si>
  <si>
    <t>Left position on the back except when executing a turn)</t>
  </si>
  <si>
    <t>Not on back upon leaving the wall after the turn</t>
  </si>
  <si>
    <t>SWIMWEAR AND WEARABLES</t>
  </si>
  <si>
    <t>Use of non-approved devise, swimsuit,adhesive substance, or body tape</t>
  </si>
  <si>
    <t>Device or plan used for pacemaking</t>
  </si>
  <si>
    <t>Failed to leave the pool ASAP at the end of the race or section in a relay</t>
  </si>
  <si>
    <t>Relay Team did not swim in the order listed</t>
  </si>
  <si>
    <t>Relay Team member re-entered the water before all teams finished the race</t>
  </si>
  <si>
    <t>Feet lost touch with starting platform before preceding team-mate touched the wall</t>
  </si>
  <si>
    <t>Relay exchange did not commerce from the starting platform</t>
  </si>
  <si>
    <t>Entered the water during a race not entered in</t>
  </si>
  <si>
    <t>Obstructing another swimmer</t>
  </si>
  <si>
    <t>Pulled on Lane Rope</t>
  </si>
  <si>
    <t>Stood on the bottom of the pool (except Freestyel)</t>
  </si>
  <si>
    <t>Took a step or stride from the bottom of the pool</t>
  </si>
  <si>
    <t>10.5.1</t>
  </si>
  <si>
    <t>When turning did not make contact with the end of the pool</t>
  </si>
  <si>
    <t>Did not remain in the lane in which they started</t>
  </si>
  <si>
    <t xml:space="preserve">Did not complete the whole distance </t>
  </si>
  <si>
    <t>Incorrect Medlay Relay stroke order</t>
  </si>
  <si>
    <t>Finish of each stroke not in accordance with rules for the stroke concerned (conmple with stroke infraction above)</t>
  </si>
  <si>
    <r>
      <rPr>
        <sz val="9"/>
        <rFont val="Arial"/>
        <family val="2"/>
      </rPr>
      <t xml:space="preserve">In the Freestyle section, did not returned to the breast  before any kick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stroke </t>
    </r>
  </si>
  <si>
    <t xml:space="preserve">Incorrect individual stroke order </t>
  </si>
  <si>
    <t>Fly, Back, Breast, swam in the Free section</t>
  </si>
  <si>
    <t>10.5.2</t>
  </si>
  <si>
    <t>Body not on the breast during stroke</t>
  </si>
  <si>
    <t>Arms not brought forward simultaneously over the water</t>
  </si>
  <si>
    <t xml:space="preserve">Arms not brought backward simultaneously under the water </t>
  </si>
  <si>
    <t>Alternating movement of legs or feet</t>
  </si>
  <si>
    <t>Breaststroke kicking movement</t>
  </si>
  <si>
    <r>
      <rPr>
        <sz val="9"/>
        <rFont val="Arial"/>
        <family val="2"/>
      </rPr>
      <t xml:space="preserve">Did not touch at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 with both hands separated; simultaneously</t>
    </r>
  </si>
  <si>
    <t>Head did not break surface of the water at or before 15m mark following start or turn</t>
  </si>
  <si>
    <t>8.5.3</t>
  </si>
  <si>
    <t>More than one butterfly kick prior to the first breaststroke kick after the start or turn</t>
  </si>
  <si>
    <r>
      <rPr>
        <sz val="9"/>
        <rFont val="Arial"/>
        <family val="2"/>
      </rPr>
      <t xml:space="preserve">Head did not break surface before the hands turned inwards at widest part of the second stroke after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</t>
    </r>
  </si>
  <si>
    <t>Stroke cycle not one arm stroke to one leg kick in that order</t>
  </si>
  <si>
    <t>Arm movements not simultaneous</t>
  </si>
  <si>
    <t xml:space="preserve">Hands not pushed forward together from the breast </t>
  </si>
  <si>
    <t>Elbows not under the water during stroke</t>
  </si>
  <si>
    <t>Hands not brought back beyond the hip line during stroke</t>
  </si>
  <si>
    <t>Head did not break the surface during each Stroke cycle</t>
  </si>
  <si>
    <t xml:space="preserve">Leg movements not simultaneous </t>
  </si>
  <si>
    <r>
      <rPr>
        <sz val="9"/>
        <rFont val="Arial"/>
        <family val="2"/>
      </rPr>
      <t>Executed 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downward butterfly kick during stroke</t>
    </r>
  </si>
  <si>
    <r>
      <rPr>
        <sz val="9"/>
        <rFont val="Arial"/>
        <family val="2"/>
      </rPr>
      <t xml:space="preserve">Did not touch at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 with both hand sseparated, simultaneously</t>
    </r>
  </si>
  <si>
    <t>2.11.71</t>
  </si>
  <si>
    <t>1.52.71</t>
  </si>
  <si>
    <t>1.58.96</t>
  </si>
  <si>
    <t>Did not finish the race while on the back</t>
  </si>
  <si>
    <t>2.07.70</t>
  </si>
  <si>
    <t>Oliver Hart</t>
  </si>
  <si>
    <t>Owen Wilson</t>
  </si>
  <si>
    <t>Dylan Bowers</t>
  </si>
  <si>
    <t>Eston</t>
  </si>
  <si>
    <t>Redcar Leisure Centre (Host Stokesley)</t>
  </si>
  <si>
    <t>Finley Whitely</t>
  </si>
  <si>
    <t>17th June 2023</t>
  </si>
  <si>
    <t>Ella MCNEILL</t>
  </si>
  <si>
    <t>Elijah STANNARD</t>
  </si>
  <si>
    <t>Beatrix ALLCOCK</t>
  </si>
  <si>
    <t>Stephen GITTINS</t>
  </si>
  <si>
    <t>Scarlett CAPALDI</t>
  </si>
  <si>
    <t>Luan MALAN</t>
  </si>
  <si>
    <t>Ava McGURK</t>
  </si>
  <si>
    <t>George GITTINS</t>
  </si>
  <si>
    <t>Emily SCHOFIELD</t>
  </si>
  <si>
    <t>Christian CORNELL</t>
  </si>
  <si>
    <t>Emma GETTINGS</t>
  </si>
  <si>
    <t>Ethan STANNARD</t>
  </si>
  <si>
    <t>Isla WOOD-WOOLLEY</t>
  </si>
  <si>
    <t>Charis GREEN</t>
  </si>
  <si>
    <t>George LINACRE</t>
  </si>
  <si>
    <t>Noah GENCE</t>
  </si>
  <si>
    <t>Luke ROBINSON</t>
  </si>
  <si>
    <t>Charlie SCHOFIELD</t>
  </si>
  <si>
    <t>Hannah TAKACS</t>
  </si>
  <si>
    <t>Simon DRYDEN</t>
  </si>
  <si>
    <t>Olivia FELGATE</t>
  </si>
  <si>
    <t>Romy GENCE</t>
  </si>
  <si>
    <t>Seth CURRY</t>
  </si>
  <si>
    <t>George HAZARD</t>
  </si>
  <si>
    <t>Millie CREE</t>
  </si>
  <si>
    <t>Sophie CREE</t>
  </si>
  <si>
    <t>Abigail SMITH</t>
  </si>
  <si>
    <t>Finn SCHOFIELD</t>
  </si>
  <si>
    <t>Darcey ALLCOCK</t>
  </si>
  <si>
    <t>Luke RICHARDSON</t>
  </si>
  <si>
    <t>Isla McGURK</t>
  </si>
  <si>
    <t>Honey BEECROFT</t>
  </si>
  <si>
    <t>Charlie LINACRE</t>
  </si>
  <si>
    <t>Cole HORN</t>
  </si>
  <si>
    <t>2.45.03</t>
  </si>
  <si>
    <t>Dani Horner</t>
  </si>
  <si>
    <t xml:space="preserve">Peter Stephenson-Mangan </t>
  </si>
  <si>
    <t xml:space="preserve">Mia Luker </t>
  </si>
  <si>
    <t>Joe Horner</t>
  </si>
  <si>
    <t xml:space="preserve">Abigail Mazambe </t>
  </si>
  <si>
    <t xml:space="preserve">Lewis Taylor </t>
  </si>
  <si>
    <t xml:space="preserve">Isla Greenwood </t>
  </si>
  <si>
    <t xml:space="preserve">Nahla  Leighton </t>
  </si>
  <si>
    <t xml:space="preserve">William Colebrook </t>
  </si>
  <si>
    <t>Dan Horner</t>
  </si>
  <si>
    <t xml:space="preserve">Ruby Brodie </t>
  </si>
  <si>
    <t xml:space="preserve">Matty McCarthy </t>
  </si>
  <si>
    <t xml:space="preserve">Hattie Windell </t>
  </si>
  <si>
    <t xml:space="preserve">Charlotte Colebrook </t>
  </si>
  <si>
    <t xml:space="preserve">Ashton Ozdemir </t>
  </si>
  <si>
    <t xml:space="preserve">Connor Morrison-Allen </t>
  </si>
  <si>
    <t xml:space="preserve">Caine Knapper </t>
  </si>
  <si>
    <t xml:space="preserve">Jaime Dunn </t>
  </si>
  <si>
    <t xml:space="preserve">Rosa Hillerby </t>
  </si>
  <si>
    <t xml:space="preserve">Harry Lock </t>
  </si>
  <si>
    <t xml:space="preserve">Annie Coulter </t>
  </si>
  <si>
    <t xml:space="preserve">Scarlet Knapper </t>
  </si>
  <si>
    <t xml:space="preserve">Shinobu Bartram </t>
  </si>
  <si>
    <t>Max Tighe</t>
  </si>
  <si>
    <t xml:space="preserve">Nahla Leighton </t>
  </si>
  <si>
    <t xml:space="preserve">Erin Stephenson-Mangan </t>
  </si>
  <si>
    <t>Jaime Dunn</t>
  </si>
  <si>
    <t>Lewis Taylor</t>
  </si>
  <si>
    <t xml:space="preserve">Luna Bartram </t>
  </si>
  <si>
    <t xml:space="preserve">Max Tighe </t>
  </si>
  <si>
    <t xml:space="preserve">Joe Horner </t>
  </si>
  <si>
    <t xml:space="preserve">Edie Slatter </t>
  </si>
  <si>
    <t>Sophia Shea</t>
  </si>
  <si>
    <t xml:space="preserve">William Moore </t>
  </si>
  <si>
    <t xml:space="preserve">Jackson Garner </t>
  </si>
  <si>
    <t>Amiee Horner</t>
  </si>
  <si>
    <t xml:space="preserve">Chloe Farrar </t>
  </si>
  <si>
    <t xml:space="preserve">Matthew McCarthy </t>
  </si>
  <si>
    <t>Wilkin, Rebecca</t>
  </si>
  <si>
    <t>Margerson, Alexander</t>
  </si>
  <si>
    <t>Mullenheim, Hannah</t>
  </si>
  <si>
    <t>Hart, Oliver</t>
  </si>
  <si>
    <t>Parker, Alice</t>
  </si>
  <si>
    <t>Wilkin, James</t>
  </si>
  <si>
    <t>Mackinnon, Darcy</t>
  </si>
  <si>
    <t>Smedley, Joshua</t>
  </si>
  <si>
    <t>Morris, Maisie</t>
  </si>
  <si>
    <t>Mullenheim, Fynn</t>
  </si>
  <si>
    <t>Parker, Amy</t>
  </si>
  <si>
    <t>Hodgkinson, Abbie</t>
  </si>
  <si>
    <t>Hanson, Thomas</t>
  </si>
  <si>
    <t>Darling, Grace</t>
  </si>
  <si>
    <t>Bowers, Dylan</t>
  </si>
  <si>
    <t>Jinks, Amelia</t>
  </si>
  <si>
    <t>Hanson, Alexandra</t>
  </si>
  <si>
    <t>Hinde, Thomas</t>
  </si>
  <si>
    <t>Bailey, Richard</t>
  </si>
  <si>
    <t>Jackson-Bowers, Charlotte</t>
  </si>
  <si>
    <t>Margrett, Will</t>
  </si>
  <si>
    <t>Johnstone, Finnley</t>
  </si>
  <si>
    <t>Hodgson, Kay</t>
  </si>
  <si>
    <t>Bailey, Eva</t>
  </si>
  <si>
    <t>Charlton, Emilia</t>
  </si>
  <si>
    <t>Cooke, Willoughby</t>
  </si>
  <si>
    <t>Poynton, Jorgina</t>
  </si>
  <si>
    <t>Bowers, Richard</t>
  </si>
  <si>
    <t>Halliday, Eleanor</t>
  </si>
  <si>
    <t>Wilson, Owen</t>
  </si>
  <si>
    <t>Whiteley, Finley</t>
  </si>
  <si>
    <t>Rayfield, Beatrice</t>
  </si>
  <si>
    <t>Elsdon, Toby</t>
  </si>
  <si>
    <t>Collins, Ayva</t>
  </si>
  <si>
    <t>Wilson, Elliott</t>
  </si>
  <si>
    <t>Holly Buckworth</t>
  </si>
  <si>
    <t>Jak Miller</t>
  </si>
  <si>
    <t>Rosie Bayliss</t>
  </si>
  <si>
    <t>Harry Hutton</t>
  </si>
  <si>
    <t>Finley Hood</t>
  </si>
  <si>
    <t>Ruby Grimes</t>
  </si>
  <si>
    <t>Theo Stevenson</t>
  </si>
  <si>
    <t>Isabella Palmer</t>
  </si>
  <si>
    <t>Harry Maddock</t>
  </si>
  <si>
    <t>Camille Hague</t>
  </si>
  <si>
    <t>Jacob Money</t>
  </si>
  <si>
    <t>Madeline Lawrenson</t>
  </si>
  <si>
    <t>Layla Bint</t>
  </si>
  <si>
    <t>Madelaine Hague</t>
  </si>
  <si>
    <t>Adam Tilling</t>
  </si>
  <si>
    <t>Isobel Dale</t>
  </si>
  <si>
    <t>Max Burns</t>
  </si>
  <si>
    <t>Stuart Hood</t>
  </si>
  <si>
    <t>Evie Bint</t>
  </si>
  <si>
    <t>Emily Mains</t>
  </si>
  <si>
    <t>Benjamin Calvert</t>
  </si>
  <si>
    <t>Finley Thynne</t>
  </si>
  <si>
    <t>Scarlett Hunt</t>
  </si>
  <si>
    <t>Dale Smith</t>
  </si>
  <si>
    <t>Jade Richardson</t>
  </si>
  <si>
    <t>Isobella Palmer</t>
  </si>
  <si>
    <t>Madeline Hague</t>
  </si>
  <si>
    <t>2.12.15</t>
  </si>
  <si>
    <t>2.28.64</t>
  </si>
  <si>
    <t>2.19.25</t>
  </si>
  <si>
    <t>T2</t>
  </si>
  <si>
    <t>1.51.98</t>
  </si>
  <si>
    <t>2.05.67</t>
  </si>
  <si>
    <t>2.13.17</t>
  </si>
  <si>
    <t>2.22.15</t>
  </si>
  <si>
    <t>RECORD</t>
  </si>
  <si>
    <t>2.45.29</t>
  </si>
  <si>
    <t>2.27.13</t>
  </si>
  <si>
    <t>2.24.66</t>
  </si>
  <si>
    <t>2.43.09</t>
  </si>
  <si>
    <t>2.31.27</t>
  </si>
  <si>
    <t>2.26.19</t>
  </si>
  <si>
    <t>2.23.90</t>
  </si>
  <si>
    <t>L2</t>
  </si>
  <si>
    <t>T1</t>
  </si>
  <si>
    <t>2.24.86</t>
  </si>
  <si>
    <t>2.39.10</t>
  </si>
  <si>
    <t>2.29.61</t>
  </si>
  <si>
    <t>2.35.43</t>
  </si>
  <si>
    <t>2.42.37</t>
  </si>
  <si>
    <t>2.50.44</t>
  </si>
  <si>
    <t>2.48.11</t>
  </si>
  <si>
    <t>1.23.64</t>
  </si>
  <si>
    <t>1.19.02</t>
  </si>
  <si>
    <t>1.37.36</t>
  </si>
  <si>
    <t>1.29.05</t>
  </si>
  <si>
    <t>1.18.00</t>
  </si>
  <si>
    <t>1.29.36</t>
  </si>
  <si>
    <t>2.24.12</t>
  </si>
  <si>
    <t>2.36.42</t>
  </si>
  <si>
    <t>2.37.21</t>
  </si>
  <si>
    <t>2.26.10</t>
  </si>
  <si>
    <t>2.27.54</t>
  </si>
  <si>
    <t>2.25.01</t>
  </si>
  <si>
    <t>2.24.80</t>
  </si>
  <si>
    <t>2.13.48</t>
  </si>
  <si>
    <t>1.59.72</t>
  </si>
  <si>
    <t>2.08.32</t>
  </si>
  <si>
    <t>2.08.05</t>
  </si>
  <si>
    <t>2.05.84</t>
  </si>
  <si>
    <t>1.43.03</t>
  </si>
  <si>
    <t>1.52.28</t>
  </si>
  <si>
    <t>1.53.71</t>
  </si>
  <si>
    <t>2.14.90</t>
  </si>
  <si>
    <t>2.44.93</t>
  </si>
  <si>
    <t>2.47.26</t>
  </si>
  <si>
    <t>3.14.76</t>
  </si>
  <si>
    <t>2.48.34</t>
  </si>
  <si>
    <t>3.03.73</t>
  </si>
  <si>
    <t>2.45.41</t>
  </si>
  <si>
    <t>2.08.63</t>
  </si>
  <si>
    <t>2.16.81</t>
  </si>
  <si>
    <t>2.13.74</t>
  </si>
  <si>
    <t>2.19.23</t>
  </si>
  <si>
    <t>2.23.33</t>
  </si>
  <si>
    <t>2.25.46</t>
  </si>
  <si>
    <t>2.42.00</t>
  </si>
  <si>
    <t>1.36.81</t>
  </si>
  <si>
    <t>1.58.84</t>
  </si>
  <si>
    <t>1.37.19</t>
  </si>
  <si>
    <t>T3</t>
  </si>
  <si>
    <t>1.38.51</t>
  </si>
  <si>
    <t>1.49.07</t>
  </si>
  <si>
    <t>2.07.95</t>
  </si>
  <si>
    <t>2.17.18</t>
  </si>
  <si>
    <t>2.16.19</t>
  </si>
  <si>
    <t>2.12.68</t>
  </si>
  <si>
    <t>Abigale Smith</t>
  </si>
  <si>
    <t>Olivia Fellgate</t>
  </si>
  <si>
    <t>Changes done before cannon</t>
  </si>
  <si>
    <t>2 Fly Kicks on Breast leg</t>
  </si>
  <si>
    <t>5.24.78</t>
  </si>
  <si>
    <t>5.40.32</t>
  </si>
  <si>
    <t>5.38.10</t>
  </si>
  <si>
    <t>5.38.93</t>
  </si>
  <si>
    <t>Erin Stephenson-Mangan</t>
  </si>
  <si>
    <t>Changes done after Gala</t>
  </si>
  <si>
    <t>1.30.94</t>
  </si>
  <si>
    <t>2.13.95</t>
  </si>
  <si>
    <t>2.07.42</t>
  </si>
  <si>
    <t>2.07.13</t>
  </si>
  <si>
    <t>2.00.51</t>
  </si>
  <si>
    <t>2.23.28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</si>
</sst>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mm:ss.00"/>
    <numFmt numFmtId="166" formatCode="00"/>
    <numFmt numFmtId="167" formatCode="0.00;[Red]0.00"/>
    <numFmt numFmtId="168" formatCode="0.0"/>
  </numFmts>
  <fonts count="7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26"/>
      <name val="Times New Roman"/>
      <family val="1"/>
    </font>
    <font>
      <b/>
      <u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b/>
      <sz val="10"/>
      <color rgb="FFFF0000"/>
      <name val="Times New Roman"/>
      <family val="1"/>
    </font>
    <font>
      <sz val="11"/>
      <color rgb="FF1F497D"/>
      <name val="Calibri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1"/>
      <color indexed="10"/>
      <name val="Calibri"/>
      <family val="2"/>
      <scheme val="minor"/>
    </font>
    <font>
      <sz val="10"/>
      <color rgb="FF000000"/>
      <name val="Arial"/>
    </font>
    <font>
      <sz val="11"/>
      <color indexed="8"/>
      <name val="Calibri"/>
    </font>
    <font>
      <sz val="12"/>
      <name val="Arial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546"/>
      </patternFill>
    </fill>
    <fill>
      <patternFill patternType="solid">
        <fgColor rgb="FF00AFEF"/>
      </patternFill>
    </fill>
    <fill>
      <patternFill patternType="solid">
        <fgColor rgb="FFFFFF00"/>
      </patternFill>
    </fill>
    <fill>
      <patternFill patternType="solid">
        <fgColor rgb="FFCCC0D9"/>
      </patternFill>
    </fill>
    <fill>
      <patternFill patternType="solid">
        <fgColor rgb="FFFF5FC5"/>
      </patternFill>
    </fill>
    <fill>
      <patternFill patternType="solid">
        <fgColor rgb="FFC4BB9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20" fillId="0" borderId="1" applyNumberFormat="0" applyFill="0" applyAlignment="0" applyProtection="0"/>
    <xf numFmtId="0" fontId="47" fillId="0" borderId="54" applyNumberFormat="0" applyFill="0" applyAlignment="0" applyProtection="0"/>
    <xf numFmtId="0" fontId="47" fillId="0" borderId="54" applyNumberFormat="0" applyFill="0" applyAlignment="0" applyProtection="0"/>
    <xf numFmtId="0" fontId="48" fillId="0" borderId="0"/>
    <xf numFmtId="0" fontId="42" fillId="0" borderId="0"/>
    <xf numFmtId="0" fontId="48" fillId="0" borderId="0"/>
    <xf numFmtId="0" fontId="45" fillId="0" borderId="0" applyNumberFormat="0" applyFill="0" applyBorder="0" applyProtection="0"/>
    <xf numFmtId="0" fontId="35" fillId="0" borderId="0"/>
    <xf numFmtId="0" fontId="49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46" fillId="0" borderId="0"/>
    <xf numFmtId="0" fontId="51" fillId="0" borderId="0"/>
    <xf numFmtId="0" fontId="3" fillId="0" borderId="0" applyNumberFormat="0" applyFill="0" applyBorder="0" applyProtection="0"/>
    <xf numFmtId="0" fontId="72" fillId="0" borderId="0"/>
    <xf numFmtId="0" fontId="2" fillId="0" borderId="0"/>
    <xf numFmtId="0" fontId="73" fillId="0" borderId="0" applyNumberFormat="0" applyFill="0" applyBorder="0" applyProtection="0"/>
    <xf numFmtId="0" fontId="74" fillId="0" borderId="0"/>
    <xf numFmtId="0" fontId="1" fillId="0" borderId="0"/>
  </cellStyleXfs>
  <cellXfs count="49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Protection="1">
      <protection locked="0"/>
    </xf>
    <xf numFmtId="15" fontId="4" fillId="0" borderId="0" xfId="0" applyNumberFormat="1" applyFont="1"/>
    <xf numFmtId="0" fontId="10" fillId="0" borderId="0" xfId="0" applyFont="1"/>
    <xf numFmtId="0" fontId="10" fillId="0" borderId="4" xfId="0" applyFont="1" applyBorder="1"/>
    <xf numFmtId="0" fontId="10" fillId="0" borderId="5" xfId="0" applyFont="1" applyBorder="1" applyAlignment="1">
      <alignment wrapText="1"/>
    </xf>
    <xf numFmtId="164" fontId="11" fillId="0" borderId="6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15" fillId="0" borderId="0" xfId="0" applyFont="1"/>
    <xf numFmtId="0" fontId="16" fillId="0" borderId="0" xfId="0" applyFont="1" applyProtection="1">
      <protection locked="0"/>
    </xf>
    <xf numFmtId="0" fontId="16" fillId="0" borderId="0" xfId="0" applyFont="1"/>
    <xf numFmtId="165" fontId="16" fillId="0" borderId="0" xfId="0" applyNumberFormat="1" applyFont="1" applyProtection="1">
      <protection locked="0"/>
    </xf>
    <xf numFmtId="2" fontId="16" fillId="0" borderId="0" xfId="0" applyNumberFormat="1" applyFont="1"/>
    <xf numFmtId="1" fontId="16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2" fontId="17" fillId="0" borderId="0" xfId="0" applyNumberFormat="1" applyFont="1"/>
    <xf numFmtId="1" fontId="17" fillId="0" borderId="0" xfId="0" applyNumberFormat="1" applyFont="1" applyAlignment="1">
      <alignment horizontal="center"/>
    </xf>
    <xf numFmtId="0" fontId="4" fillId="0" borderId="6" xfId="0" applyFont="1" applyBorder="1"/>
    <xf numFmtId="0" fontId="18" fillId="0" borderId="0" xfId="0" applyFont="1"/>
    <xf numFmtId="2" fontId="18" fillId="0" borderId="0" xfId="0" applyNumberFormat="1" applyFont="1" applyAlignment="1">
      <alignment horizontal="center"/>
    </xf>
    <xf numFmtId="0" fontId="19" fillId="0" borderId="6" xfId="0" applyFont="1" applyBorder="1"/>
    <xf numFmtId="2" fontId="20" fillId="0" borderId="0" xfId="1" applyNumberFormat="1" applyFill="1" applyBorder="1" applyAlignment="1" applyProtection="1"/>
    <xf numFmtId="0" fontId="9" fillId="0" borderId="0" xfId="0" applyFont="1" applyProtection="1">
      <protection locked="0"/>
    </xf>
    <xf numFmtId="0" fontId="9" fillId="0" borderId="0" xfId="0" applyFont="1"/>
    <xf numFmtId="165" fontId="9" fillId="0" borderId="0" xfId="0" applyNumberFormat="1" applyFont="1" applyProtection="1">
      <protection locked="0"/>
    </xf>
    <xf numFmtId="2" fontId="37" fillId="0" borderId="0" xfId="0" applyNumberFormat="1" applyFont="1"/>
    <xf numFmtId="1" fontId="9" fillId="0" borderId="0" xfId="0" applyNumberFormat="1" applyFont="1"/>
    <xf numFmtId="165" fontId="4" fillId="0" borderId="0" xfId="0" applyNumberFormat="1" applyFont="1"/>
    <xf numFmtId="2" fontId="6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0" xfId="1" applyNumberFormat="1" applyFont="1" applyFill="1" applyBorder="1" applyAlignment="1" applyProtection="1"/>
    <xf numFmtId="1" fontId="4" fillId="0" borderId="6" xfId="0" applyNumberFormat="1" applyFont="1" applyBorder="1" applyAlignment="1">
      <alignment horizontal="center"/>
    </xf>
    <xf numFmtId="2" fontId="52" fillId="0" borderId="0" xfId="0" applyNumberFormat="1" applyFont="1"/>
    <xf numFmtId="2" fontId="6" fillId="0" borderId="2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1" fontId="4" fillId="0" borderId="28" xfId="0" applyNumberFormat="1" applyFont="1" applyBorder="1" applyAlignment="1">
      <alignment horizontal="center"/>
    </xf>
    <xf numFmtId="0" fontId="14" fillId="0" borderId="0" xfId="0" applyFont="1"/>
    <xf numFmtId="49" fontId="4" fillId="0" borderId="0" xfId="0" applyNumberFormat="1" applyFont="1"/>
    <xf numFmtId="1" fontId="4" fillId="0" borderId="27" xfId="0" applyNumberFormat="1" applyFont="1" applyBorder="1" applyAlignment="1">
      <alignment horizontal="center"/>
    </xf>
    <xf numFmtId="2" fontId="52" fillId="0" borderId="0" xfId="0" applyNumberFormat="1" applyFont="1" applyAlignment="1">
      <alignment horizontal="center"/>
    </xf>
    <xf numFmtId="0" fontId="4" fillId="0" borderId="5" xfId="0" applyFont="1" applyBorder="1"/>
    <xf numFmtId="2" fontId="4" fillId="0" borderId="25" xfId="0" applyNumberFormat="1" applyFont="1" applyBorder="1" applyAlignment="1">
      <alignment horizontal="center"/>
    </xf>
    <xf numFmtId="165" fontId="4" fillId="0" borderId="2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vertical="top" wrapText="1"/>
    </xf>
    <xf numFmtId="0" fontId="6" fillId="0" borderId="26" xfId="0" applyFont="1" applyBorder="1" applyAlignment="1">
      <alignment vertical="top" wrapText="1"/>
    </xf>
    <xf numFmtId="2" fontId="6" fillId="0" borderId="0" xfId="0" applyNumberFormat="1" applyFont="1" applyAlignment="1">
      <alignment vertical="top" wrapText="1"/>
    </xf>
    <xf numFmtId="2" fontId="53" fillId="0" borderId="0" xfId="0" applyNumberFormat="1" applyFont="1"/>
    <xf numFmtId="2" fontId="53" fillId="0" borderId="0" xfId="0" applyNumberFormat="1" applyFont="1" applyAlignment="1">
      <alignment horizontal="left"/>
    </xf>
    <xf numFmtId="2" fontId="56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left"/>
    </xf>
    <xf numFmtId="2" fontId="4" fillId="0" borderId="30" xfId="0" applyNumberFormat="1" applyFont="1" applyBorder="1" applyAlignment="1">
      <alignment horizontal="center"/>
    </xf>
    <xf numFmtId="0" fontId="53" fillId="0" borderId="0" xfId="0" applyFont="1"/>
    <xf numFmtId="0" fontId="32" fillId="0" borderId="0" xfId="0" applyFont="1"/>
    <xf numFmtId="0" fontId="17" fillId="0" borderId="6" xfId="0" applyFont="1" applyBorder="1" applyAlignment="1">
      <alignment horizontal="center"/>
    </xf>
    <xf numFmtId="0" fontId="37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2" fontId="4" fillId="0" borderId="29" xfId="0" applyNumberFormat="1" applyFont="1" applyBorder="1" applyAlignment="1" applyProtection="1">
      <alignment horizontal="center"/>
      <protection locked="0"/>
    </xf>
    <xf numFmtId="0" fontId="52" fillId="0" borderId="0" xfId="0" applyFont="1"/>
    <xf numFmtId="0" fontId="59" fillId="0" borderId="0" xfId="0" applyFont="1" applyAlignment="1">
      <alignment vertical="center"/>
    </xf>
    <xf numFmtId="2" fontId="5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7" xfId="0" applyFont="1" applyBorder="1"/>
    <xf numFmtId="0" fontId="4" fillId="0" borderId="12" xfId="0" applyFont="1" applyBorder="1"/>
    <xf numFmtId="0" fontId="4" fillId="0" borderId="32" xfId="0" applyFont="1" applyBorder="1"/>
    <xf numFmtId="0" fontId="4" fillId="0" borderId="17" xfId="0" applyFont="1" applyBorder="1"/>
    <xf numFmtId="0" fontId="4" fillId="0" borderId="29" xfId="0" applyFont="1" applyBorder="1"/>
    <xf numFmtId="0" fontId="60" fillId="0" borderId="0" xfId="0" applyFont="1"/>
    <xf numFmtId="0" fontId="59" fillId="0" borderId="0" xfId="0" applyFont="1" applyAlignment="1">
      <alignment horizontal="center" vertical="center"/>
    </xf>
    <xf numFmtId="165" fontId="4" fillId="0" borderId="33" xfId="0" applyNumberFormat="1" applyFont="1" applyBorder="1" applyAlignment="1" applyProtection="1">
      <alignment horizontal="center"/>
      <protection locked="0"/>
    </xf>
    <xf numFmtId="1" fontId="53" fillId="0" borderId="0" xfId="0" applyNumberFormat="1" applyFont="1" applyAlignment="1">
      <alignment horizontal="left"/>
    </xf>
    <xf numFmtId="0" fontId="39" fillId="0" borderId="0" xfId="12" applyFont="1"/>
    <xf numFmtId="2" fontId="6" fillId="0" borderId="29" xfId="0" applyNumberFormat="1" applyFont="1" applyBorder="1" applyAlignment="1">
      <alignment horizontal="center"/>
    </xf>
    <xf numFmtId="165" fontId="6" fillId="0" borderId="33" xfId="0" applyNumberFormat="1" applyFont="1" applyBorder="1" applyAlignment="1" applyProtection="1">
      <alignment horizontal="center"/>
      <protection locked="0"/>
    </xf>
    <xf numFmtId="1" fontId="6" fillId="0" borderId="33" xfId="0" applyNumberFormat="1" applyFont="1" applyBorder="1" applyAlignment="1" applyProtection="1">
      <alignment horizontal="center"/>
      <protection locked="0"/>
    </xf>
    <xf numFmtId="1" fontId="4" fillId="0" borderId="33" xfId="0" applyNumberFormat="1" applyFont="1" applyBorder="1" applyAlignment="1" applyProtection="1">
      <alignment horizontal="center"/>
      <protection locked="0"/>
    </xf>
    <xf numFmtId="0" fontId="19" fillId="0" borderId="29" xfId="0" applyFont="1" applyBorder="1"/>
    <xf numFmtId="0" fontId="56" fillId="0" borderId="0" xfId="0" applyFont="1"/>
    <xf numFmtId="0" fontId="61" fillId="0" borderId="0" xfId="0" applyFont="1"/>
    <xf numFmtId="0" fontId="53" fillId="0" borderId="0" xfId="0" applyFont="1" applyAlignment="1">
      <alignment wrapText="1"/>
    </xf>
    <xf numFmtId="0" fontId="65" fillId="0" borderId="0" xfId="12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7" fontId="17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6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" fontId="4" fillId="0" borderId="36" xfId="0" applyNumberFormat="1" applyFont="1" applyBorder="1"/>
    <xf numFmtId="1" fontId="4" fillId="0" borderId="37" xfId="0" applyNumberFormat="1" applyFont="1" applyBorder="1"/>
    <xf numFmtId="1" fontId="4" fillId="0" borderId="38" xfId="0" applyNumberFormat="1" applyFont="1" applyBorder="1" applyAlignment="1">
      <alignment horizontal="center"/>
    </xf>
    <xf numFmtId="165" fontId="4" fillId="0" borderId="9" xfId="0" applyNumberFormat="1" applyFont="1" applyBorder="1" applyAlignment="1" applyProtection="1">
      <alignment horizontal="center"/>
      <protection locked="0"/>
    </xf>
    <xf numFmtId="165" fontId="4" fillId="0" borderId="4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9" fillId="0" borderId="29" xfId="12" applyFont="1" applyBorder="1" applyAlignment="1" applyProtection="1">
      <alignment horizontal="center"/>
      <protection locked="0"/>
    </xf>
    <xf numFmtId="0" fontId="19" fillId="0" borderId="29" xfId="12" applyFont="1" applyBorder="1" applyAlignment="1">
      <alignment horizontal="center"/>
    </xf>
    <xf numFmtId="0" fontId="4" fillId="0" borderId="29" xfId="12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 applyProtection="1">
      <alignment horizontal="center"/>
      <protection locked="0"/>
    </xf>
    <xf numFmtId="2" fontId="4" fillId="0" borderId="0" xfId="1" applyNumberFormat="1" applyFont="1" applyFill="1" applyBorder="1" applyAlignment="1" applyProtection="1">
      <alignment horizontal="center"/>
    </xf>
    <xf numFmtId="1" fontId="4" fillId="0" borderId="9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43" fillId="0" borderId="0" xfId="1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53" fillId="0" borderId="29" xfId="0" applyNumberFormat="1" applyFont="1" applyBorder="1"/>
    <xf numFmtId="2" fontId="6" fillId="0" borderId="0" xfId="1" applyNumberFormat="1" applyFont="1" applyFill="1" applyBorder="1" applyAlignment="1" applyProtection="1"/>
    <xf numFmtId="0" fontId="15" fillId="0" borderId="0" xfId="0" applyFont="1" applyAlignment="1">
      <alignment horizontal="center"/>
    </xf>
    <xf numFmtId="165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14" fontId="28" fillId="0" borderId="0" xfId="0" applyNumberFormat="1" applyFont="1"/>
    <xf numFmtId="0" fontId="17" fillId="0" borderId="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 indent="1"/>
    </xf>
    <xf numFmtId="0" fontId="19" fillId="0" borderId="29" xfId="0" applyFont="1" applyBorder="1" applyAlignment="1">
      <alignment horizontal="center"/>
    </xf>
    <xf numFmtId="2" fontId="5" fillId="0" borderId="0" xfId="0" applyNumberFormat="1" applyFont="1" applyAlignment="1" applyProtection="1">
      <alignment horizontal="center" vertical="center"/>
      <protection locked="0"/>
    </xf>
    <xf numFmtId="2" fontId="5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left" wrapText="1" indent="1"/>
    </xf>
    <xf numFmtId="0" fontId="4" fillId="0" borderId="39" xfId="0" applyFont="1" applyBorder="1"/>
    <xf numFmtId="0" fontId="4" fillId="4" borderId="57" xfId="0" applyFont="1" applyFill="1" applyBorder="1" applyAlignment="1">
      <alignment horizontal="center" vertical="top" wrapText="1"/>
    </xf>
    <xf numFmtId="0" fontId="4" fillId="0" borderId="57" xfId="0" applyFont="1" applyBorder="1" applyAlignment="1">
      <alignment horizontal="left" vertical="top" wrapText="1"/>
    </xf>
    <xf numFmtId="0" fontId="4" fillId="5" borderId="57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left" vertical="top" wrapText="1"/>
    </xf>
    <xf numFmtId="0" fontId="4" fillId="6" borderId="57" xfId="0" applyFont="1" applyFill="1" applyBorder="1" applyAlignment="1">
      <alignment horizontal="center" vertical="top" wrapText="1"/>
    </xf>
    <xf numFmtId="0" fontId="4" fillId="7" borderId="57" xfId="0" applyFont="1" applyFill="1" applyBorder="1" applyAlignment="1">
      <alignment horizontal="center" vertical="top" wrapText="1"/>
    </xf>
    <xf numFmtId="0" fontId="4" fillId="8" borderId="57" xfId="0" applyFont="1" applyFill="1" applyBorder="1" applyAlignment="1">
      <alignment horizontal="center" vertical="top" wrapText="1"/>
    </xf>
    <xf numFmtId="0" fontId="4" fillId="9" borderId="57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168" fontId="62" fillId="0" borderId="29" xfId="0" applyNumberFormat="1" applyFont="1" applyBorder="1" applyAlignment="1">
      <alignment horizontal="center" vertical="top" shrinkToFit="1"/>
    </xf>
    <xf numFmtId="0" fontId="4" fillId="5" borderId="29" xfId="0" applyFont="1" applyFill="1" applyBorder="1" applyAlignment="1">
      <alignment horizontal="center" vertical="top" wrapText="1"/>
    </xf>
    <xf numFmtId="0" fontId="4" fillId="6" borderId="29" xfId="0" applyFont="1" applyFill="1" applyBorder="1" applyAlignment="1">
      <alignment horizontal="center" vertical="top" wrapText="1"/>
    </xf>
    <xf numFmtId="168" fontId="62" fillId="0" borderId="29" xfId="0" applyNumberFormat="1" applyFont="1" applyBorder="1" applyAlignment="1">
      <alignment horizontal="center" vertical="center" shrinkToFit="1"/>
    </xf>
    <xf numFmtId="0" fontId="4" fillId="7" borderId="29" xfId="0" applyFont="1" applyFill="1" applyBorder="1" applyAlignment="1">
      <alignment horizontal="center" vertical="top" wrapText="1"/>
    </xf>
    <xf numFmtId="0" fontId="4" fillId="8" borderId="29" xfId="0" applyFont="1" applyFill="1" applyBorder="1" applyAlignment="1">
      <alignment horizontal="center" vertical="top" wrapText="1"/>
    </xf>
    <xf numFmtId="0" fontId="4" fillId="9" borderId="29" xfId="0" applyFont="1" applyFill="1" applyBorder="1" applyAlignment="1">
      <alignment horizontal="center" vertical="top" wrapText="1"/>
    </xf>
    <xf numFmtId="2" fontId="62" fillId="0" borderId="29" xfId="0" applyNumberFormat="1" applyFont="1" applyBorder="1" applyAlignment="1">
      <alignment horizontal="center" vertical="top" shrinkToFi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165" fontId="9" fillId="0" borderId="0" xfId="0" applyNumberFormat="1" applyFont="1"/>
    <xf numFmtId="2" fontId="56" fillId="0" borderId="0" xfId="0" applyNumberFormat="1" applyFont="1" applyAlignment="1">
      <alignment horizontal="left"/>
    </xf>
    <xf numFmtId="0" fontId="19" fillId="0" borderId="0" xfId="0" applyFont="1" applyProtection="1">
      <protection locked="0"/>
    </xf>
    <xf numFmtId="2" fontId="52" fillId="0" borderId="0" xfId="0" applyNumberFormat="1" applyFont="1" applyAlignment="1">
      <alignment horizontal="left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6" fillId="0" borderId="27" xfId="0" applyNumberFormat="1" applyFont="1" applyBorder="1" applyAlignment="1">
      <alignment horizontal="center"/>
    </xf>
    <xf numFmtId="2" fontId="6" fillId="3" borderId="29" xfId="0" applyNumberFormat="1" applyFont="1" applyFill="1" applyBorder="1" applyAlignment="1" applyProtection="1">
      <alignment horizontal="center"/>
      <protection locked="0"/>
    </xf>
    <xf numFmtId="2" fontId="6" fillId="3" borderId="34" xfId="0" applyNumberFormat="1" applyFont="1" applyFill="1" applyBorder="1" applyAlignment="1" applyProtection="1">
      <alignment horizontal="center"/>
      <protection locked="0"/>
    </xf>
    <xf numFmtId="0" fontId="4" fillId="0" borderId="29" xfId="12" applyFont="1" applyBorder="1" applyAlignment="1" applyProtection="1">
      <alignment horizontal="center"/>
      <protection locked="0"/>
    </xf>
    <xf numFmtId="2" fontId="19" fillId="0" borderId="41" xfId="0" applyNumberFormat="1" applyFont="1" applyBorder="1" applyAlignment="1" applyProtection="1">
      <alignment horizontal="center"/>
      <protection locked="0"/>
    </xf>
    <xf numFmtId="2" fontId="19" fillId="3" borderId="33" xfId="0" applyNumberFormat="1" applyFont="1" applyFill="1" applyBorder="1" applyAlignment="1" applyProtection="1">
      <alignment horizontal="center"/>
      <protection locked="0"/>
    </xf>
    <xf numFmtId="2" fontId="4" fillId="3" borderId="41" xfId="0" applyNumberFormat="1" applyFont="1" applyFill="1" applyBorder="1" applyAlignment="1" applyProtection="1">
      <alignment horizontal="center"/>
      <protection locked="0"/>
    </xf>
    <xf numFmtId="2" fontId="19" fillId="3" borderId="41" xfId="0" applyNumberFormat="1" applyFont="1" applyFill="1" applyBorder="1" applyAlignment="1" applyProtection="1">
      <alignment horizontal="center"/>
      <protection locked="0"/>
    </xf>
    <xf numFmtId="2" fontId="4" fillId="0" borderId="41" xfId="0" applyNumberFormat="1" applyFont="1" applyBorder="1" applyAlignment="1" applyProtection="1">
      <alignment horizontal="center"/>
      <protection locked="0"/>
    </xf>
    <xf numFmtId="2" fontId="19" fillId="0" borderId="33" xfId="0" applyNumberFormat="1" applyFont="1" applyBorder="1" applyAlignment="1" applyProtection="1">
      <alignment horizontal="center"/>
      <protection locked="0"/>
    </xf>
    <xf numFmtId="2" fontId="4" fillId="0" borderId="33" xfId="0" applyNumberFormat="1" applyFont="1" applyBorder="1" applyAlignment="1" applyProtection="1">
      <alignment horizontal="center"/>
      <protection locked="0"/>
    </xf>
    <xf numFmtId="165" fontId="6" fillId="0" borderId="39" xfId="0" applyNumberFormat="1" applyFont="1" applyBorder="1" applyAlignment="1" applyProtection="1">
      <alignment horizontal="center"/>
      <protection locked="0"/>
    </xf>
    <xf numFmtId="2" fontId="6" fillId="3" borderId="39" xfId="0" applyNumberFormat="1" applyFont="1" applyFill="1" applyBorder="1" applyAlignment="1" applyProtection="1">
      <alignment horizontal="center"/>
      <protection locked="0"/>
    </xf>
    <xf numFmtId="1" fontId="4" fillId="0" borderId="41" xfId="0" applyNumberFormat="1" applyFont="1" applyBorder="1" applyAlignment="1" applyProtection="1">
      <alignment horizontal="center"/>
      <protection locked="0"/>
    </xf>
    <xf numFmtId="1" fontId="4" fillId="0" borderId="26" xfId="0" applyNumberFormat="1" applyFont="1" applyBorder="1" applyAlignment="1" applyProtection="1">
      <alignment horizontal="center"/>
      <protection locked="0"/>
    </xf>
    <xf numFmtId="2" fontId="6" fillId="11" borderId="29" xfId="0" applyNumberFormat="1" applyFont="1" applyFill="1" applyBorder="1" applyAlignment="1" applyProtection="1">
      <alignment horizontal="center"/>
      <protection locked="0"/>
    </xf>
    <xf numFmtId="0" fontId="44" fillId="11" borderId="39" xfId="12" applyFont="1" applyFill="1" applyBorder="1" applyAlignment="1">
      <alignment horizontal="center"/>
    </xf>
    <xf numFmtId="0" fontId="39" fillId="0" borderId="0" xfId="0" applyFont="1"/>
    <xf numFmtId="0" fontId="61" fillId="0" borderId="0" xfId="0" applyFont="1" applyAlignment="1">
      <alignment horizontal="center"/>
    </xf>
    <xf numFmtId="2" fontId="4" fillId="0" borderId="63" xfId="0" applyNumberFormat="1" applyFont="1" applyBorder="1"/>
    <xf numFmtId="0" fontId="4" fillId="10" borderId="17" xfId="0" applyFont="1" applyFill="1" applyBorder="1" applyAlignment="1">
      <alignment horizontal="left" vertical="center" wrapText="1"/>
    </xf>
    <xf numFmtId="14" fontId="4" fillId="10" borderId="29" xfId="0" applyNumberFormat="1" applyFont="1" applyFill="1" applyBorder="1" applyAlignment="1">
      <alignment horizontal="center" vertical="center" wrapText="1"/>
    </xf>
    <xf numFmtId="2" fontId="5" fillId="10" borderId="57" xfId="0" applyNumberFormat="1" applyFont="1" applyFill="1" applyBorder="1" applyAlignment="1" applyProtection="1">
      <alignment horizontal="center" vertical="center"/>
      <protection locked="0"/>
    </xf>
    <xf numFmtId="2" fontId="5" fillId="10" borderId="58" xfId="0" applyNumberFormat="1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left" vertical="center" wrapText="1"/>
    </xf>
    <xf numFmtId="2" fontId="5" fillId="1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9" xfId="6" applyFont="1" applyFill="1" applyBorder="1" applyAlignment="1">
      <alignment horizontal="center"/>
    </xf>
    <xf numFmtId="0" fontId="62" fillId="10" borderId="29" xfId="6" applyFont="1" applyFill="1" applyBorder="1" applyAlignment="1">
      <alignment horizontal="center"/>
    </xf>
    <xf numFmtId="0" fontId="19" fillId="10" borderId="29" xfId="12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 applyAlignment="1">
      <alignment wrapText="1"/>
    </xf>
    <xf numFmtId="164" fontId="11" fillId="0" borderId="4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textRotation="90"/>
    </xf>
    <xf numFmtId="0" fontId="10" fillId="0" borderId="6" xfId="0" applyFont="1" applyBorder="1" applyAlignment="1">
      <alignment horizontal="center" textRotation="90"/>
    </xf>
    <xf numFmtId="0" fontId="11" fillId="0" borderId="5" xfId="0" applyFont="1" applyBorder="1" applyAlignment="1">
      <alignment horizontal="center" textRotation="90"/>
    </xf>
    <xf numFmtId="0" fontId="11" fillId="0" borderId="7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6" xfId="0" applyFont="1" applyBorder="1" applyAlignment="1" applyProtection="1">
      <alignment horizontal="center" vertical="center"/>
      <protection locked="0"/>
    </xf>
    <xf numFmtId="2" fontId="5" fillId="0" borderId="55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/>
    <xf numFmtId="0" fontId="4" fillId="0" borderId="21" xfId="0" applyFont="1" applyBorder="1"/>
    <xf numFmtId="0" fontId="6" fillId="0" borderId="11" xfId="0" applyFont="1" applyBorder="1"/>
    <xf numFmtId="0" fontId="5" fillId="0" borderId="13" xfId="0" applyFont="1" applyBorder="1"/>
    <xf numFmtId="0" fontId="6" fillId="0" borderId="14" xfId="0" applyFont="1" applyBorder="1"/>
    <xf numFmtId="0" fontId="5" fillId="0" borderId="15" xfId="0" applyFont="1" applyBorder="1"/>
    <xf numFmtId="0" fontId="4" fillId="0" borderId="22" xfId="0" applyFont="1" applyBorder="1"/>
    <xf numFmtId="0" fontId="6" fillId="0" borderId="16" xfId="0" applyFont="1" applyBorder="1"/>
    <xf numFmtId="0" fontId="52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165" fontId="22" fillId="0" borderId="0" xfId="0" applyNumberFormat="1" applyFont="1"/>
    <xf numFmtId="0" fontId="15" fillId="0" borderId="0" xfId="0" applyFont="1" applyAlignment="1">
      <alignment vertic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/>
    <xf numFmtId="0" fontId="16" fillId="0" borderId="0" xfId="0" applyFont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/>
    <xf numFmtId="165" fontId="16" fillId="0" borderId="0" xfId="0" applyNumberFormat="1" applyFont="1" applyAlignment="1" applyProtection="1">
      <alignment vertical="center"/>
      <protection locked="0"/>
    </xf>
    <xf numFmtId="2" fontId="27" fillId="0" borderId="0" xfId="0" applyNumberFormat="1" applyFont="1" applyAlignment="1">
      <alignment horizontal="center"/>
    </xf>
    <xf numFmtId="2" fontId="27" fillId="0" borderId="0" xfId="0" applyNumberFormat="1" applyFont="1"/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165" fontId="28" fillId="0" borderId="0" xfId="0" applyNumberFormat="1" applyFont="1"/>
    <xf numFmtId="0" fontId="17" fillId="0" borderId="0" xfId="0" applyFont="1" applyAlignment="1">
      <alignment vertical="center"/>
    </xf>
    <xf numFmtId="2" fontId="28" fillId="0" borderId="0" xfId="0" applyNumberFormat="1" applyFont="1" applyAlignment="1">
      <alignment horizontal="center"/>
    </xf>
    <xf numFmtId="2" fontId="28" fillId="0" borderId="0" xfId="0" applyNumberFormat="1" applyFont="1"/>
    <xf numFmtId="0" fontId="18" fillId="0" borderId="6" xfId="0" applyFont="1" applyBorder="1" applyAlignment="1">
      <alignment horizontal="center"/>
    </xf>
    <xf numFmtId="2" fontId="19" fillId="0" borderId="29" xfId="12" applyNumberFormat="1" applyFont="1" applyBorder="1" applyAlignment="1" applyProtection="1">
      <alignment horizontal="center"/>
      <protection locked="0"/>
    </xf>
    <xf numFmtId="2" fontId="29" fillId="0" borderId="25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1" fontId="18" fillId="0" borderId="6" xfId="0" applyNumberFormat="1" applyFont="1" applyBorder="1" applyAlignment="1">
      <alignment horizontal="center"/>
    </xf>
    <xf numFmtId="2" fontId="67" fillId="0" borderId="29" xfId="12" applyNumberFormat="1" applyFont="1" applyBorder="1" applyAlignment="1" applyProtection="1">
      <alignment horizontal="center"/>
      <protection locked="0"/>
    </xf>
    <xf numFmtId="0" fontId="5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5" fontId="18" fillId="0" borderId="9" xfId="0" applyNumberFormat="1" applyFont="1" applyBorder="1" applyAlignment="1" applyProtection="1">
      <alignment horizontal="center"/>
      <protection locked="0"/>
    </xf>
    <xf numFmtId="2" fontId="58" fillId="0" borderId="0" xfId="0" applyNumberFormat="1" applyFont="1"/>
    <xf numFmtId="1" fontId="18" fillId="0" borderId="0" xfId="0" applyNumberFormat="1" applyFont="1" applyAlignment="1">
      <alignment horizontal="center"/>
    </xf>
    <xf numFmtId="1" fontId="29" fillId="0" borderId="6" xfId="0" applyNumberFormat="1" applyFont="1" applyBorder="1" applyAlignment="1">
      <alignment horizontal="center"/>
    </xf>
    <xf numFmtId="1" fontId="28" fillId="0" borderId="0" xfId="0" applyNumberFormat="1" applyFont="1"/>
    <xf numFmtId="165" fontId="18" fillId="0" borderId="40" xfId="0" applyNumberFormat="1" applyFont="1" applyBorder="1" applyAlignment="1" applyProtection="1">
      <alignment horizontal="center"/>
      <protection locked="0"/>
    </xf>
    <xf numFmtId="2" fontId="4" fillId="0" borderId="29" xfId="12" applyNumberFormat="1" applyFont="1" applyBorder="1" applyAlignment="1" applyProtection="1">
      <alignment horizontal="center"/>
      <protection locked="0"/>
    </xf>
    <xf numFmtId="165" fontId="29" fillId="0" borderId="41" xfId="0" applyNumberFormat="1" applyFont="1" applyBorder="1" applyAlignment="1" applyProtection="1">
      <alignment horizontal="center"/>
      <protection locked="0"/>
    </xf>
    <xf numFmtId="2" fontId="30" fillId="0" borderId="0" xfId="0" applyNumberFormat="1" applyFont="1"/>
    <xf numFmtId="165" fontId="18" fillId="0" borderId="0" xfId="0" applyNumberFormat="1" applyFont="1"/>
    <xf numFmtId="2" fontId="29" fillId="0" borderId="0" xfId="0" applyNumberFormat="1" applyFont="1" applyAlignment="1">
      <alignment horizontal="center"/>
    </xf>
    <xf numFmtId="165" fontId="18" fillId="0" borderId="29" xfId="0" applyNumberFormat="1" applyFont="1" applyBorder="1" applyAlignment="1" applyProtection="1">
      <alignment horizontal="center"/>
      <protection locked="0"/>
    </xf>
    <xf numFmtId="2" fontId="31" fillId="0" borderId="25" xfId="0" applyNumberFormat="1" applyFont="1" applyBorder="1" applyAlignment="1">
      <alignment horizontal="center"/>
    </xf>
    <xf numFmtId="1" fontId="31" fillId="0" borderId="25" xfId="0" applyNumberFormat="1" applyFont="1" applyBorder="1" applyAlignment="1">
      <alignment horizontal="center"/>
    </xf>
    <xf numFmtId="0" fontId="19" fillId="0" borderId="27" xfId="0" applyFont="1" applyBorder="1"/>
    <xf numFmtId="0" fontId="18" fillId="0" borderId="5" xfId="0" applyFont="1" applyBorder="1" applyAlignment="1">
      <alignment horizontal="center"/>
    </xf>
    <xf numFmtId="0" fontId="55" fillId="0" borderId="0" xfId="0" applyFont="1"/>
    <xf numFmtId="1" fontId="28" fillId="0" borderId="0" xfId="0" applyNumberFormat="1" applyFont="1" applyAlignment="1">
      <alignment horizontal="center"/>
    </xf>
    <xf numFmtId="165" fontId="29" fillId="0" borderId="9" xfId="0" applyNumberFormat="1" applyFont="1" applyBorder="1" applyAlignment="1" applyProtection="1">
      <alignment horizontal="center"/>
      <protection locked="0"/>
    </xf>
    <xf numFmtId="1" fontId="18" fillId="0" borderId="0" xfId="0" applyNumberFormat="1" applyFont="1"/>
    <xf numFmtId="1" fontId="31" fillId="0" borderId="6" xfId="0" applyNumberFormat="1" applyFont="1" applyBorder="1" applyAlignment="1">
      <alignment horizontal="center"/>
    </xf>
    <xf numFmtId="0" fontId="33" fillId="0" borderId="0" xfId="0" applyFont="1" applyAlignment="1">
      <alignment wrapText="1"/>
    </xf>
    <xf numFmtId="2" fontId="36" fillId="0" borderId="0" xfId="0" applyNumberFormat="1" applyFont="1" applyAlignment="1">
      <alignment horizontal="center" wrapText="1"/>
    </xf>
    <xf numFmtId="0" fontId="33" fillId="0" borderId="26" xfId="0" applyFont="1" applyBorder="1" applyAlignment="1">
      <alignment wrapText="1"/>
    </xf>
    <xf numFmtId="1" fontId="18" fillId="0" borderId="9" xfId="0" applyNumberFormat="1" applyFont="1" applyBorder="1" applyAlignment="1" applyProtection="1">
      <alignment horizontal="center"/>
      <protection locked="0"/>
    </xf>
    <xf numFmtId="0" fontId="32" fillId="0" borderId="6" xfId="0" applyFont="1" applyBorder="1"/>
    <xf numFmtId="2" fontId="61" fillId="0" borderId="0" xfId="0" applyNumberFormat="1" applyFont="1" applyAlignment="1">
      <alignment horizontal="left"/>
    </xf>
    <xf numFmtId="2" fontId="18" fillId="0" borderId="29" xfId="0" applyNumberFormat="1" applyFont="1" applyBorder="1" applyAlignment="1" applyProtection="1">
      <alignment horizontal="center"/>
      <protection locked="0"/>
    </xf>
    <xf numFmtId="2" fontId="61" fillId="0" borderId="9" xfId="0" applyNumberFormat="1" applyFont="1" applyBorder="1"/>
    <xf numFmtId="2" fontId="18" fillId="0" borderId="9" xfId="0" applyNumberFormat="1" applyFont="1" applyBorder="1"/>
    <xf numFmtId="0" fontId="62" fillId="0" borderId="41" xfId="4" applyFont="1" applyBorder="1"/>
    <xf numFmtId="2" fontId="23" fillId="0" borderId="0" xfId="0" applyNumberFormat="1" applyFont="1" applyAlignment="1">
      <alignment horizontal="left"/>
    </xf>
    <xf numFmtId="1" fontId="18" fillId="0" borderId="20" xfId="0" applyNumberFormat="1" applyFont="1" applyBorder="1" applyAlignment="1" applyProtection="1">
      <alignment horizontal="center"/>
      <protection locked="0"/>
    </xf>
    <xf numFmtId="1" fontId="23" fillId="0" borderId="9" xfId="0" applyNumberFormat="1" applyFont="1" applyBorder="1" applyAlignment="1" applyProtection="1">
      <alignment horizontal="center"/>
      <protection locked="0"/>
    </xf>
    <xf numFmtId="0" fontId="25" fillId="0" borderId="0" xfId="0" applyFont="1"/>
    <xf numFmtId="0" fontId="63" fillId="0" borderId="6" xfId="0" applyFont="1" applyBorder="1"/>
    <xf numFmtId="2" fontId="71" fillId="0" borderId="0" xfId="0" applyNumberFormat="1" applyFont="1" applyAlignment="1">
      <alignment horizontal="center" wrapText="1"/>
    </xf>
    <xf numFmtId="1" fontId="18" fillId="0" borderId="40" xfId="0" applyNumberFormat="1" applyFont="1" applyBorder="1" applyAlignment="1" applyProtection="1">
      <alignment horizontal="center"/>
      <protection locked="0"/>
    </xf>
    <xf numFmtId="1" fontId="18" fillId="0" borderId="41" xfId="0" applyNumberFormat="1" applyFont="1" applyBorder="1" applyAlignment="1" applyProtection="1">
      <alignment horizontal="center"/>
      <protection locked="0"/>
    </xf>
    <xf numFmtId="0" fontId="23" fillId="0" borderId="0" xfId="0" applyFont="1"/>
    <xf numFmtId="1" fontId="23" fillId="0" borderId="41" xfId="0" applyNumberFormat="1" applyFont="1" applyBorder="1" applyAlignment="1" applyProtection="1">
      <alignment horizontal="center"/>
      <protection locked="0"/>
    </xf>
    <xf numFmtId="0" fontId="32" fillId="0" borderId="5" xfId="0" applyFont="1" applyBorder="1"/>
    <xf numFmtId="1" fontId="18" fillId="0" borderId="42" xfId="0" applyNumberFormat="1" applyFont="1" applyBorder="1" applyAlignment="1" applyProtection="1">
      <alignment horizontal="center"/>
      <protection locked="0"/>
    </xf>
    <xf numFmtId="2" fontId="29" fillId="0" borderId="30" xfId="0" applyNumberFormat="1" applyFont="1" applyBorder="1" applyAlignment="1">
      <alignment horizontal="center"/>
    </xf>
    <xf numFmtId="1" fontId="29" fillId="0" borderId="2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26" fillId="0" borderId="38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5" fontId="14" fillId="0" borderId="0" xfId="0" applyNumberFormat="1" applyFont="1"/>
    <xf numFmtId="2" fontId="38" fillId="0" borderId="0" xfId="0" applyNumberFormat="1" applyFont="1"/>
    <xf numFmtId="1" fontId="14" fillId="0" borderId="0" xfId="0" applyNumberFormat="1" applyFont="1"/>
    <xf numFmtId="2" fontId="62" fillId="0" borderId="29" xfId="6" applyNumberFormat="1" applyFont="1" applyBorder="1" applyAlignment="1">
      <alignment horizontal="center"/>
    </xf>
    <xf numFmtId="0" fontId="41" fillId="0" borderId="0" xfId="12" applyFont="1"/>
    <xf numFmtId="0" fontId="29" fillId="0" borderId="0" xfId="12" applyFont="1" applyAlignment="1">
      <alignment horizontal="center"/>
    </xf>
    <xf numFmtId="0" fontId="54" fillId="0" borderId="0" xfId="12" applyFont="1"/>
    <xf numFmtId="0" fontId="40" fillId="0" borderId="0" xfId="12" applyFont="1"/>
    <xf numFmtId="0" fontId="18" fillId="0" borderId="0" xfId="12" applyFont="1"/>
    <xf numFmtId="49" fontId="18" fillId="0" borderId="0" xfId="12" applyNumberFormat="1" applyFont="1"/>
    <xf numFmtId="0" fontId="30" fillId="0" borderId="0" xfId="12" applyFont="1" applyAlignment="1">
      <alignment horizontal="left"/>
    </xf>
    <xf numFmtId="0" fontId="17" fillId="0" borderId="0" xfId="12" applyFont="1"/>
    <xf numFmtId="1" fontId="6" fillId="0" borderId="6" xfId="0" applyNumberFormat="1" applyFont="1" applyBorder="1" applyAlignment="1">
      <alignment horizontal="center"/>
    </xf>
    <xf numFmtId="1" fontId="6" fillId="0" borderId="0" xfId="0" applyNumberFormat="1" applyFont="1"/>
    <xf numFmtId="0" fontId="69" fillId="0" borderId="0" xfId="6" applyFont="1"/>
    <xf numFmtId="165" fontId="4" fillId="0" borderId="41" xfId="0" applyNumberFormat="1" applyFont="1" applyBorder="1" applyAlignment="1" applyProtection="1">
      <alignment horizontal="center"/>
      <protection locked="0"/>
    </xf>
    <xf numFmtId="1" fontId="6" fillId="0" borderId="25" xfId="0" applyNumberFormat="1" applyFont="1" applyBorder="1" applyAlignment="1">
      <alignment horizontal="center"/>
    </xf>
    <xf numFmtId="0" fontId="6" fillId="0" borderId="6" xfId="0" applyFont="1" applyBorder="1"/>
    <xf numFmtId="165" fontId="52" fillId="0" borderId="41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>
      <alignment horizontal="center"/>
    </xf>
    <xf numFmtId="165" fontId="4" fillId="0" borderId="20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wrapText="1"/>
    </xf>
    <xf numFmtId="2" fontId="24" fillId="0" borderId="0" xfId="0" applyNumberFormat="1" applyFont="1" applyAlignment="1">
      <alignment horizontal="center" wrapText="1"/>
    </xf>
    <xf numFmtId="0" fontId="21" fillId="0" borderId="26" xfId="0" applyFont="1" applyBorder="1" applyAlignment="1">
      <alignment wrapText="1"/>
    </xf>
    <xf numFmtId="2" fontId="6" fillId="0" borderId="30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2" fillId="0" borderId="0" xfId="0" applyFont="1"/>
    <xf numFmtId="2" fontId="29" fillId="11" borderId="29" xfId="0" applyNumberFormat="1" applyFont="1" applyFill="1" applyBorder="1" applyAlignment="1" applyProtection="1">
      <alignment horizontal="center"/>
      <protection locked="0"/>
    </xf>
    <xf numFmtId="2" fontId="29" fillId="11" borderId="33" xfId="0" applyNumberFormat="1" applyFont="1" applyFill="1" applyBorder="1" applyAlignment="1" applyProtection="1">
      <alignment horizontal="center"/>
      <protection locked="0"/>
    </xf>
    <xf numFmtId="2" fontId="68" fillId="11" borderId="29" xfId="4" applyNumberFormat="1" applyFont="1" applyFill="1" applyBorder="1" applyAlignment="1">
      <alignment horizontal="center"/>
    </xf>
    <xf numFmtId="2" fontId="29" fillId="11" borderId="31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4" fillId="0" borderId="62" xfId="0" applyFont="1" applyBorder="1"/>
    <xf numFmtId="0" fontId="4" fillId="10" borderId="29" xfId="0" applyFont="1" applyFill="1" applyBorder="1" applyAlignment="1" applyProtection="1">
      <alignment horizontal="center"/>
      <protection locked="0"/>
    </xf>
    <xf numFmtId="0" fontId="19" fillId="10" borderId="29" xfId="0" applyFont="1" applyFill="1" applyBorder="1" applyAlignment="1" applyProtection="1">
      <alignment horizontal="center"/>
      <protection locked="0"/>
    </xf>
    <xf numFmtId="2" fontId="4" fillId="10" borderId="29" xfId="0" applyNumberFormat="1" applyFont="1" applyFill="1" applyBorder="1" applyAlignment="1" applyProtection="1">
      <alignment horizontal="center"/>
      <protection locked="0"/>
    </xf>
    <xf numFmtId="0" fontId="19" fillId="0" borderId="29" xfId="0" applyFont="1" applyBorder="1" applyProtection="1">
      <protection locked="0"/>
    </xf>
    <xf numFmtId="0" fontId="32" fillId="0" borderId="0" xfId="23" applyFont="1"/>
    <xf numFmtId="2" fontId="62" fillId="10" borderId="29" xfId="0" applyNumberFormat="1" applyFont="1" applyFill="1" applyBorder="1" applyAlignment="1">
      <alignment horizontal="center" vertical="top" shrinkToFit="1"/>
    </xf>
    <xf numFmtId="0" fontId="0" fillId="10" borderId="57" xfId="0" applyFill="1" applyBorder="1" applyAlignment="1">
      <alignment horizontal="left" vertical="top" wrapText="1"/>
    </xf>
    <xf numFmtId="0" fontId="75" fillId="0" borderId="0" xfId="0" applyFont="1" applyAlignment="1">
      <alignment wrapText="1"/>
    </xf>
    <xf numFmtId="2" fontId="6" fillId="11" borderId="35" xfId="0" applyNumberFormat="1" applyFont="1" applyFill="1" applyBorder="1" applyAlignment="1" applyProtection="1">
      <alignment horizontal="center"/>
      <protection locked="0"/>
    </xf>
    <xf numFmtId="2" fontId="6" fillId="11" borderId="39" xfId="0" applyNumberFormat="1" applyFont="1" applyFill="1" applyBorder="1" applyAlignment="1" applyProtection="1">
      <alignment horizontal="center"/>
      <protection locked="0"/>
    </xf>
    <xf numFmtId="2" fontId="4" fillId="0" borderId="64" xfId="0" applyNumberFormat="1" applyFont="1" applyBorder="1" applyAlignment="1" applyProtection="1">
      <alignment horizontal="center"/>
      <protection locked="0"/>
    </xf>
    <xf numFmtId="0" fontId="75" fillId="0" borderId="29" xfId="0" applyFont="1" applyBorder="1" applyAlignment="1">
      <alignment wrapText="1"/>
    </xf>
    <xf numFmtId="2" fontId="6" fillId="11" borderId="65" xfId="0" applyNumberFormat="1" applyFont="1" applyFill="1" applyBorder="1" applyAlignment="1" applyProtection="1">
      <alignment horizontal="center"/>
      <protection locked="0"/>
    </xf>
    <xf numFmtId="2" fontId="6" fillId="11" borderId="39" xfId="0" applyNumberFormat="1" applyFont="1" applyFill="1" applyBorder="1" applyAlignment="1">
      <alignment horizontal="center"/>
    </xf>
    <xf numFmtId="0" fontId="0" fillId="0" borderId="29" xfId="0" applyBorder="1" applyAlignment="1">
      <alignment wrapText="1"/>
    </xf>
    <xf numFmtId="0" fontId="44" fillId="11" borderId="39" xfId="12" applyFont="1" applyFill="1" applyBorder="1" applyAlignment="1" applyProtection="1">
      <alignment horizontal="center"/>
      <protection locked="0"/>
    </xf>
    <xf numFmtId="0" fontId="6" fillId="11" borderId="39" xfId="12" applyFont="1" applyFill="1" applyBorder="1" applyAlignment="1">
      <alignment horizontal="center"/>
    </xf>
    <xf numFmtId="2" fontId="61" fillId="0" borderId="0" xfId="0" applyNumberFormat="1" applyFont="1" applyAlignment="1">
      <alignment horizontal="center"/>
    </xf>
    <xf numFmtId="0" fontId="19" fillId="0" borderId="41" xfId="12" applyFont="1" applyBorder="1" applyAlignment="1" applyProtection="1">
      <alignment horizontal="center"/>
      <protection locked="0"/>
    </xf>
    <xf numFmtId="0" fontId="4" fillId="0" borderId="41" xfId="12" applyFont="1" applyBorder="1" applyAlignment="1" applyProtection="1">
      <alignment horizontal="center"/>
      <protection locked="0"/>
    </xf>
    <xf numFmtId="0" fontId="67" fillId="0" borderId="29" xfId="12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wrapText="1"/>
    </xf>
    <xf numFmtId="2" fontId="6" fillId="0" borderId="3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textRotation="90"/>
    </xf>
    <xf numFmtId="14" fontId="4" fillId="0" borderId="29" xfId="0" applyNumberFormat="1" applyFont="1" applyBorder="1" applyAlignment="1">
      <alignment horizontal="center" vertical="center" wrapText="1"/>
    </xf>
    <xf numFmtId="2" fontId="5" fillId="0" borderId="57" xfId="0" applyNumberFormat="1" applyFont="1" applyBorder="1" applyAlignment="1" applyProtection="1">
      <alignment horizontal="center" vertical="center"/>
      <protection locked="0"/>
    </xf>
    <xf numFmtId="2" fontId="5" fillId="0" borderId="58" xfId="0" applyNumberFormat="1" applyFont="1" applyBorder="1" applyAlignment="1" applyProtection="1">
      <alignment horizontal="center" vertical="center"/>
      <protection locked="0"/>
    </xf>
    <xf numFmtId="0" fontId="62" fillId="0" borderId="29" xfId="6" applyFont="1" applyBorder="1" applyAlignment="1">
      <alignment horizontal="center"/>
    </xf>
    <xf numFmtId="0" fontId="4" fillId="0" borderId="29" xfId="6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2" fontId="5" fillId="0" borderId="58" xfId="0" applyNumberFormat="1" applyFont="1" applyBorder="1" applyAlignment="1" applyProtection="1">
      <alignment horizontal="center" vertical="center" wrapText="1"/>
      <protection locked="0"/>
    </xf>
    <xf numFmtId="0" fontId="48" fillId="0" borderId="29" xfId="6" applyBorder="1" applyAlignment="1">
      <alignment horizontal="center"/>
    </xf>
    <xf numFmtId="0" fontId="48" fillId="0" borderId="55" xfId="12" applyFont="1" applyBorder="1" applyAlignment="1">
      <alignment horizontal="center"/>
    </xf>
    <xf numFmtId="0" fontId="4" fillId="0" borderId="29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2" fontId="5" fillId="0" borderId="60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6" fillId="0" borderId="0" xfId="0" applyNumberFormat="1" applyFont="1" applyAlignment="1" applyProtection="1">
      <alignment horizontal="center"/>
      <protection locked="0"/>
    </xf>
    <xf numFmtId="0" fontId="4" fillId="0" borderId="0" xfId="12" applyFont="1" applyAlignment="1">
      <alignment horizontal="center"/>
    </xf>
    <xf numFmtId="0" fontId="48" fillId="0" borderId="0" xfId="12" applyFont="1"/>
    <xf numFmtId="2" fontId="19" fillId="0" borderId="0" xfId="0" applyNumberFormat="1" applyFont="1" applyAlignment="1" applyProtection="1">
      <alignment horizontal="center"/>
      <protection locked="0"/>
    </xf>
    <xf numFmtId="0" fontId="4" fillId="0" borderId="29" xfId="0" applyFont="1" applyBorder="1" applyProtection="1"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19" fillId="0" borderId="0" xfId="12" applyNumberFormat="1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center"/>
      <protection locked="0"/>
    </xf>
    <xf numFmtId="0" fontId="62" fillId="2" borderId="59" xfId="0" applyFont="1" applyFill="1" applyBorder="1"/>
    <xf numFmtId="0" fontId="4" fillId="0" borderId="59" xfId="0" applyFont="1" applyBorder="1"/>
    <xf numFmtId="0" fontId="62" fillId="0" borderId="59" xfId="0" applyFont="1" applyBorder="1"/>
    <xf numFmtId="0" fontId="62" fillId="2" borderId="61" xfId="0" applyFont="1" applyFill="1" applyBorder="1"/>
    <xf numFmtId="0" fontId="62" fillId="0" borderId="29" xfId="0" applyFont="1" applyBorder="1"/>
    <xf numFmtId="0" fontId="4" fillId="2" borderId="59" xfId="0" applyFont="1" applyFill="1" applyBorder="1"/>
    <xf numFmtId="0" fontId="62" fillId="2" borderId="29" xfId="0" applyFont="1" applyFill="1" applyBorder="1"/>
    <xf numFmtId="2" fontId="4" fillId="10" borderId="29" xfId="0" applyNumberFormat="1" applyFont="1" applyFill="1" applyBorder="1" applyAlignment="1">
      <alignment horizontal="right"/>
    </xf>
    <xf numFmtId="0" fontId="69" fillId="2" borderId="0" xfId="0" applyFont="1" applyFill="1"/>
    <xf numFmtId="0" fontId="69" fillId="0" borderId="0" xfId="0" applyFont="1"/>
    <xf numFmtId="0" fontId="19" fillId="0" borderId="39" xfId="24" applyFont="1" applyBorder="1" applyProtection="1">
      <protection locked="0"/>
    </xf>
    <xf numFmtId="0" fontId="19" fillId="12" borderId="29" xfId="24" applyFont="1" applyFill="1" applyBorder="1" applyProtection="1">
      <protection locked="0"/>
    </xf>
    <xf numFmtId="0" fontId="4" fillId="12" borderId="39" xfId="24" applyFont="1" applyFill="1" applyBorder="1" applyProtection="1">
      <protection locked="0"/>
    </xf>
    <xf numFmtId="0" fontId="19" fillId="12" borderId="6" xfId="24" applyFont="1" applyFill="1" applyBorder="1" applyProtection="1">
      <protection locked="0"/>
    </xf>
    <xf numFmtId="0" fontId="67" fillId="0" borderId="6" xfId="24" applyFont="1" applyBorder="1" applyProtection="1">
      <protection locked="0"/>
    </xf>
    <xf numFmtId="0" fontId="19" fillId="0" borderId="6" xfId="24" applyFont="1" applyBorder="1" applyProtection="1">
      <protection locked="0"/>
    </xf>
    <xf numFmtId="0" fontId="4" fillId="12" borderId="6" xfId="24" applyFont="1" applyFill="1" applyBorder="1" applyProtection="1">
      <protection locked="0"/>
    </xf>
    <xf numFmtId="0" fontId="4" fillId="0" borderId="6" xfId="24" applyFont="1" applyBorder="1" applyProtection="1">
      <protection locked="0"/>
    </xf>
    <xf numFmtId="0" fontId="67" fillId="12" borderId="6" xfId="24" applyFont="1" applyFill="1" applyBorder="1" applyProtection="1">
      <protection locked="0"/>
    </xf>
    <xf numFmtId="0" fontId="39" fillId="0" borderId="0" xfId="24" applyFont="1"/>
    <xf numFmtId="0" fontId="39" fillId="12" borderId="0" xfId="24" applyFont="1" applyFill="1"/>
    <xf numFmtId="0" fontId="19" fillId="12" borderId="27" xfId="24" applyFont="1" applyFill="1" applyBorder="1" applyProtection="1">
      <protection locked="0"/>
    </xf>
    <xf numFmtId="0" fontId="65" fillId="0" borderId="0" xfId="24" applyFont="1"/>
    <xf numFmtId="0" fontId="66" fillId="0" borderId="0" xfId="24" applyFont="1"/>
    <xf numFmtId="0" fontId="19" fillId="0" borderId="29" xfId="24" applyFont="1" applyBorder="1" applyProtection="1">
      <protection locked="0"/>
    </xf>
    <xf numFmtId="2" fontId="29" fillId="0" borderId="29" xfId="0" applyNumberFormat="1" applyFont="1" applyBorder="1" applyAlignment="1">
      <alignment horizontal="center"/>
    </xf>
    <xf numFmtId="0" fontId="19" fillId="12" borderId="25" xfId="24" applyFont="1" applyFill="1" applyBorder="1"/>
    <xf numFmtId="0" fontId="19" fillId="12" borderId="43" xfId="24" applyFont="1" applyFill="1" applyBorder="1" applyProtection="1">
      <protection locked="0"/>
    </xf>
    <xf numFmtId="0" fontId="19" fillId="12" borderId="25" xfId="24" applyFont="1" applyFill="1" applyBorder="1" applyProtection="1">
      <protection locked="0"/>
    </xf>
    <xf numFmtId="0" fontId="4" fillId="12" borderId="25" xfId="24" applyFont="1" applyFill="1" applyBorder="1" applyProtection="1">
      <protection locked="0"/>
    </xf>
    <xf numFmtId="0" fontId="19" fillId="12" borderId="30" xfId="24" applyFont="1" applyFill="1" applyBorder="1" applyProtection="1">
      <protection locked="0"/>
    </xf>
    <xf numFmtId="0" fontId="4" fillId="0" borderId="29" xfId="24" applyFont="1" applyBorder="1" applyProtection="1">
      <protection locked="0"/>
    </xf>
    <xf numFmtId="0" fontId="75" fillId="0" borderId="29" xfId="24" applyFont="1" applyBorder="1" applyAlignment="1">
      <alignment wrapText="1"/>
    </xf>
    <xf numFmtId="0" fontId="1" fillId="0" borderId="29" xfId="24" applyBorder="1" applyAlignment="1">
      <alignment wrapText="1"/>
    </xf>
    <xf numFmtId="2" fontId="62" fillId="0" borderId="33" xfId="6" applyNumberFormat="1" applyFont="1" applyBorder="1" applyAlignment="1">
      <alignment horizontal="center"/>
    </xf>
    <xf numFmtId="2" fontId="4" fillId="0" borderId="33" xfId="6" applyNumberFormat="1" applyFont="1" applyBorder="1" applyAlignment="1">
      <alignment horizontal="center"/>
    </xf>
    <xf numFmtId="2" fontId="4" fillId="0" borderId="64" xfId="6" applyNumberFormat="1" applyFont="1" applyBorder="1" applyAlignment="1">
      <alignment horizontal="center"/>
    </xf>
    <xf numFmtId="0" fontId="4" fillId="0" borderId="30" xfId="24" applyFont="1" applyBorder="1"/>
    <xf numFmtId="0" fontId="19" fillId="0" borderId="29" xfId="24" applyFont="1" applyBorder="1"/>
    <xf numFmtId="2" fontId="4" fillId="13" borderId="29" xfId="0" applyNumberFormat="1" applyFont="1" applyFill="1" applyBorder="1" applyAlignment="1">
      <alignment horizontal="right"/>
    </xf>
    <xf numFmtId="0" fontId="19" fillId="0" borderId="33" xfId="23" applyFont="1" applyBorder="1" applyProtection="1">
      <protection locked="0"/>
    </xf>
    <xf numFmtId="0" fontId="67" fillId="0" borderId="33" xfId="23" applyFont="1" applyBorder="1" applyProtection="1">
      <protection locked="0"/>
    </xf>
    <xf numFmtId="0" fontId="19" fillId="0" borderId="39" xfId="0" applyFont="1" applyBorder="1" applyProtection="1">
      <protection locked="0"/>
    </xf>
    <xf numFmtId="0" fontId="67" fillId="0" borderId="39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19" fillId="0" borderId="0" xfId="0" applyFont="1"/>
    <xf numFmtId="0" fontId="19" fillId="0" borderId="39" xfId="0" applyFont="1" applyBorder="1" applyAlignment="1" applyProtection="1">
      <alignment horizontal="left"/>
      <protection locked="0"/>
    </xf>
    <xf numFmtId="2" fontId="4" fillId="10" borderId="25" xfId="0" applyNumberFormat="1" applyFont="1" applyFill="1" applyBorder="1" applyAlignment="1">
      <alignment horizontal="center"/>
    </xf>
    <xf numFmtId="2" fontId="5" fillId="10" borderId="55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8" xfId="0" applyFont="1" applyBorder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10" fillId="0" borderId="50" xfId="0" applyFon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52" fillId="0" borderId="9" xfId="0" applyNumberFormat="1" applyFont="1" applyBorder="1" applyAlignment="1">
      <alignment horizontal="center" wrapText="1"/>
    </xf>
    <xf numFmtId="2" fontId="52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 vertical="top" wrapText="1"/>
    </xf>
    <xf numFmtId="2" fontId="6" fillId="0" borderId="52" xfId="0" applyNumberFormat="1" applyFont="1" applyBorder="1" applyAlignment="1">
      <alignment horizontal="center" vertical="top" wrapText="1"/>
    </xf>
    <xf numFmtId="1" fontId="4" fillId="0" borderId="48" xfId="0" applyNumberFormat="1" applyFont="1" applyBorder="1" applyAlignment="1">
      <alignment horizontal="center"/>
    </xf>
    <xf numFmtId="2" fontId="57" fillId="0" borderId="0" xfId="0" applyNumberFormat="1" applyFont="1" applyAlignment="1">
      <alignment horizontal="left" wrapText="1"/>
    </xf>
    <xf numFmtId="2" fontId="70" fillId="0" borderId="9" xfId="0" applyNumberFormat="1" applyFont="1" applyBorder="1" applyAlignment="1">
      <alignment horizontal="center" wrapText="1"/>
    </xf>
    <xf numFmtId="2" fontId="52" fillId="0" borderId="9" xfId="0" applyNumberFormat="1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2" fontId="55" fillId="0" borderId="0" xfId="0" applyNumberFormat="1" applyFont="1" applyAlignment="1">
      <alignment horizontal="left" wrapText="1"/>
    </xf>
    <xf numFmtId="1" fontId="0" fillId="0" borderId="36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2" fontId="71" fillId="0" borderId="9" xfId="0" applyNumberFormat="1" applyFont="1" applyBorder="1" applyAlignment="1">
      <alignment horizontal="center" wrapText="1"/>
    </xf>
    <xf numFmtId="2" fontId="58" fillId="0" borderId="0" xfId="0" applyNumberFormat="1" applyFont="1" applyAlignment="1">
      <alignment horizontal="center" wrapText="1"/>
    </xf>
    <xf numFmtId="0" fontId="9" fillId="0" borderId="0" xfId="0" applyFont="1" applyAlignment="1" applyProtection="1">
      <alignment horizontal="left"/>
      <protection locked="0"/>
    </xf>
    <xf numFmtId="2" fontId="24" fillId="0" borderId="9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36" fillId="0" borderId="9" xfId="0" applyNumberFormat="1" applyFont="1" applyBorder="1" applyAlignment="1">
      <alignment horizontal="left" wrapText="1"/>
    </xf>
    <xf numFmtId="0" fontId="34" fillId="0" borderId="50" xfId="0" applyFont="1" applyBorder="1" applyAlignment="1">
      <alignment horizontal="center"/>
    </xf>
  </cellXfs>
  <cellStyles count="25">
    <cellStyle name="Excel_BuiltIn_Linked Cell" xfId="1" xr:uid="{00000000-0005-0000-0000-000000000000}"/>
    <cellStyle name="Linked Cell 2" xfId="2" xr:uid="{00000000-0005-0000-0000-000001000000}"/>
    <cellStyle name="Linked Cell 3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19" xr:uid="{5B4F8C32-4DDF-4648-9A23-B96EABE00D34}"/>
    <cellStyle name="Normal 15" xfId="20" xr:uid="{9C5356D2-0949-4E6C-ABA5-B6E6A55C049C}"/>
    <cellStyle name="Normal 16" xfId="21" xr:uid="{DF0F9C52-A5BC-4899-A024-8108C1283527}"/>
    <cellStyle name="Normal 17" xfId="22" xr:uid="{D47C95EC-5EE0-41A8-930D-04010E39B2F8}"/>
    <cellStyle name="Normal 18" xfId="23" xr:uid="{54E09E81-0AC1-4A48-BA29-C8D4F30CCBEA}"/>
    <cellStyle name="Normal 19" xfId="24" xr:uid="{8F920002-FCA5-4701-95D3-1A7654986883}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5 2" xfId="13" xr:uid="{00000000-0005-0000-0000-00000D000000}"/>
    <cellStyle name="Normal 5 3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Moors League Results  </a:t>
            </a:r>
          </a:p>
        </c:rich>
      </c:tx>
      <c:layout>
        <c:manualLayout>
          <c:xMode val="edge"/>
          <c:yMode val="edge"/>
          <c:x val="0.40000015484790064"/>
          <c:y val="1.3806697708118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chemeClr val="accent3">
            <a:lumMod val="40000"/>
            <a:lumOff val="60000"/>
          </a:schemeClr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chemeClr val="bg1">
            <a:lumMod val="8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85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1627296587926E-2"/>
          <c:y val="1.1340713669248716E-2"/>
          <c:w val="0.83797128837156221"/>
          <c:h val="0.9524365408315841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formatCode>General</c:formatCode>
                <c:ptCount val="7"/>
                <c:pt idx="0">
                  <c:v>34</c:v>
                </c:pt>
                <c:pt idx="1">
                  <c:v>16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9-4E1B-8A00-B7FE12B91B83}"/>
            </c:ext>
          </c:extLst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formatCode>General</c:formatCode>
                <c:ptCount val="7"/>
                <c:pt idx="0">
                  <c:v>6</c:v>
                </c:pt>
                <c:pt idx="1">
                  <c:v>16</c:v>
                </c:pt>
                <c:pt idx="2">
                  <c:v>15</c:v>
                </c:pt>
                <c:pt idx="3">
                  <c:v>19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9-4E1B-8A00-B7FE12B91B83}"/>
            </c:ext>
          </c:extLst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formatCode>General</c:formatCode>
                <c:ptCount val="7"/>
                <c:pt idx="0">
                  <c:v>5</c:v>
                </c:pt>
                <c:pt idx="1">
                  <c:v>15</c:v>
                </c:pt>
                <c:pt idx="2">
                  <c:v>21</c:v>
                </c:pt>
                <c:pt idx="3">
                  <c:v>16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9-4E1B-8A00-B7FE12B91B83}"/>
            </c:ext>
          </c:extLst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formatCode>General</c:formatCode>
                <c:ptCount val="7"/>
                <c:pt idx="0">
                  <c:v>16</c:v>
                </c:pt>
                <c:pt idx="1">
                  <c:v>14</c:v>
                </c:pt>
                <c:pt idx="2">
                  <c:v>19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E1B-8A00-B7FE12B9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373151"/>
        <c:axId val="1"/>
        <c:axId val="2"/>
      </c:bar3DChart>
      <c:catAx>
        <c:axId val="1083373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Place</a:t>
                </a:r>
              </a:p>
            </c:rich>
          </c:tx>
          <c:layout>
            <c:manualLayout>
              <c:xMode val="edge"/>
              <c:yMode val="edge"/>
              <c:x val="0.42695669678458337"/>
              <c:y val="0.81854204624963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 of Swim Results</a:t>
                </a:r>
              </a:p>
            </c:rich>
          </c:tx>
          <c:layout>
            <c:manualLayout>
              <c:xMode val="edge"/>
              <c:yMode val="edge"/>
              <c:x val="0.12956526451892628"/>
              <c:y val="0.390533422835000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3373151"/>
        <c:crossesAt val="1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16876098452291"/>
          <c:y val="0.21650893773596297"/>
          <c:w val="8.4808337010971013E-2"/>
          <c:h val="0.124492699576287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 macro="">
      <xdr:nvGraphicFramePr>
        <xdr:cNvPr id="1057951" name="Chart 1">
          <a:extLst>
            <a:ext uri="{FF2B5EF4-FFF2-40B4-BE49-F238E27FC236}">
              <a16:creationId xmlns:a16="http://schemas.microsoft.com/office/drawing/2014/main" id="{78EFBA56-A17E-C2D4-93E6-32B97DDF8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zoomScale="142" zoomScaleNormal="142" workbookViewId="0">
      <pane ySplit="5" topLeftCell="A72" activePane="bottomLeft" state="frozen"/>
      <selection pane="bottomLeft" activeCell="G71" sqref="G71:J71"/>
    </sheetView>
  </sheetViews>
  <sheetFormatPr defaultRowHeight="12" x14ac:dyDescent="0.2"/>
  <cols>
    <col min="1" max="1" width="3.140625" style="1" customWidth="1"/>
    <col min="2" max="2" width="17.85546875" style="2" customWidth="1"/>
    <col min="3" max="3" width="5.42578125" style="1" customWidth="1"/>
    <col min="4" max="4" width="11" style="3" customWidth="1"/>
    <col min="5" max="5" width="9.42578125" style="1" customWidth="1"/>
    <col min="6" max="6" width="7.85546875" style="4" customWidth="1"/>
    <col min="7" max="7" width="5.7109375" style="1" customWidth="1"/>
    <col min="8" max="8" width="10.42578125" style="1" customWidth="1"/>
    <col min="9" max="9" width="6.85546875" style="1" customWidth="1"/>
    <col min="10" max="10" width="7.85546875" style="4" customWidth="1"/>
    <col min="11" max="11" width="5.7109375" style="1" customWidth="1"/>
    <col min="12" max="12" width="10.42578125" style="3" customWidth="1"/>
    <col min="13" max="13" width="7.28515625" style="1" customWidth="1"/>
    <col min="14" max="14" width="7.85546875" style="4" customWidth="1"/>
    <col min="15" max="15" width="5.7109375" style="1" customWidth="1"/>
    <col min="16" max="16" width="10.4257812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/>
    <col min="21" max="21" width="13.7109375" style="1" customWidth="1"/>
    <col min="22" max="22" width="11.28515625" style="1" customWidth="1"/>
    <col min="23" max="16384" width="9.140625" style="1"/>
  </cols>
  <sheetData>
    <row r="1" spans="1:21" ht="28.5" customHeight="1" x14ac:dyDescent="0.45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21" ht="28.5" customHeight="1" x14ac:dyDescent="0.45">
      <c r="A2" s="5"/>
      <c r="B2" s="6"/>
      <c r="C2" s="5"/>
      <c r="D2" s="5"/>
      <c r="E2" s="5"/>
      <c r="F2" s="7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</row>
    <row r="3" spans="1:21" ht="16.5" customHeight="1" x14ac:dyDescent="0.25">
      <c r="B3" s="8" t="s">
        <v>1</v>
      </c>
      <c r="C3" s="9" t="s">
        <v>360</v>
      </c>
      <c r="J3" s="461" t="s">
        <v>2</v>
      </c>
      <c r="K3" s="461"/>
      <c r="L3" s="9" t="s">
        <v>362</v>
      </c>
    </row>
    <row r="4" spans="1:21" ht="16.5" customHeight="1" thickBot="1" x14ac:dyDescent="0.3">
      <c r="B4" s="8"/>
      <c r="C4" s="10"/>
    </row>
    <row r="5" spans="1:21" s="11" customFormat="1" ht="15" thickBot="1" x14ac:dyDescent="0.25">
      <c r="A5" s="462" t="s">
        <v>3</v>
      </c>
      <c r="B5" s="462"/>
      <c r="C5" s="463" t="s">
        <v>150</v>
      </c>
      <c r="D5" s="464"/>
      <c r="E5" s="464"/>
      <c r="F5" s="465"/>
      <c r="G5" s="466" t="s">
        <v>5</v>
      </c>
      <c r="H5" s="466"/>
      <c r="I5" s="466"/>
      <c r="J5" s="466"/>
      <c r="K5" s="463" t="s">
        <v>359</v>
      </c>
      <c r="L5" s="464"/>
      <c r="M5" s="464"/>
      <c r="N5" s="465"/>
      <c r="O5" s="466" t="s">
        <v>4</v>
      </c>
      <c r="P5" s="466"/>
      <c r="Q5" s="466"/>
      <c r="R5" s="466"/>
    </row>
    <row r="6" spans="1:21" customFormat="1" ht="13.5" thickBot="1" x14ac:dyDescent="0.25">
      <c r="A6" s="208"/>
      <c r="B6" s="209"/>
      <c r="C6" s="470" t="s">
        <v>7</v>
      </c>
      <c r="D6" s="470"/>
      <c r="E6" s="470"/>
      <c r="F6" s="470"/>
      <c r="G6" s="470" t="s">
        <v>8</v>
      </c>
      <c r="H6" s="470"/>
      <c r="I6" s="470"/>
      <c r="J6" s="470"/>
      <c r="K6" s="470" t="s">
        <v>9</v>
      </c>
      <c r="L6" s="470"/>
      <c r="M6" s="470"/>
      <c r="N6" s="470"/>
      <c r="O6" s="471" t="s">
        <v>10</v>
      </c>
      <c r="P6" s="471"/>
      <c r="Q6" s="471"/>
      <c r="R6" s="471"/>
    </row>
    <row r="7" spans="1:21" ht="0.75" hidden="1" customHeight="1" x14ac:dyDescent="0.25">
      <c r="A7" s="12"/>
      <c r="B7" s="13"/>
      <c r="C7" s="210"/>
      <c r="D7" s="14"/>
      <c r="E7" s="14"/>
      <c r="F7" s="211"/>
      <c r="G7" s="210"/>
      <c r="H7" s="14"/>
      <c r="I7" s="14"/>
      <c r="J7" s="211"/>
      <c r="K7" s="210"/>
      <c r="L7" s="14"/>
      <c r="M7" s="14"/>
      <c r="N7" s="211"/>
      <c r="O7" s="210"/>
      <c r="P7" s="14"/>
      <c r="Q7" s="14"/>
      <c r="R7" s="212"/>
    </row>
    <row r="8" spans="1:21" ht="62.25" customHeight="1" x14ac:dyDescent="0.2">
      <c r="A8" s="15"/>
      <c r="B8" s="213"/>
      <c r="C8" s="214" t="s">
        <v>11</v>
      </c>
      <c r="D8" s="215" t="s">
        <v>12</v>
      </c>
      <c r="E8" s="215" t="s">
        <v>13</v>
      </c>
      <c r="F8" s="216" t="s">
        <v>14</v>
      </c>
      <c r="G8" s="214" t="s">
        <v>11</v>
      </c>
      <c r="H8" s="215" t="s">
        <v>12</v>
      </c>
      <c r="I8" s="215" t="s">
        <v>13</v>
      </c>
      <c r="J8" s="216" t="s">
        <v>14</v>
      </c>
      <c r="K8" s="214" t="s">
        <v>11</v>
      </c>
      <c r="L8" s="215" t="s">
        <v>12</v>
      </c>
      <c r="M8" s="215" t="s">
        <v>13</v>
      </c>
      <c r="N8" s="216" t="s">
        <v>14</v>
      </c>
      <c r="O8" s="214" t="s">
        <v>11</v>
      </c>
      <c r="P8" s="215" t="s">
        <v>12</v>
      </c>
      <c r="Q8" s="215" t="s">
        <v>13</v>
      </c>
      <c r="R8" s="217" t="s">
        <v>14</v>
      </c>
      <c r="T8" s="218" t="s">
        <v>15</v>
      </c>
      <c r="U8" s="219" t="s">
        <v>16</v>
      </c>
    </row>
    <row r="9" spans="1:21" ht="24.75" customHeight="1" x14ac:dyDescent="0.2">
      <c r="A9" s="16">
        <v>1</v>
      </c>
      <c r="B9" s="17" t="s">
        <v>17</v>
      </c>
      <c r="C9" s="220">
        <v>2</v>
      </c>
      <c r="D9" s="221">
        <v>33.299999999999997</v>
      </c>
      <c r="E9" s="222">
        <f t="shared" ref="E9:E69" si="0">VLOOKUP(C9,position,2,TRUE)</f>
        <v>3</v>
      </c>
      <c r="F9" s="223">
        <f>E9</f>
        <v>3</v>
      </c>
      <c r="G9" s="220">
        <v>4</v>
      </c>
      <c r="H9" s="221">
        <v>34.590000000000003</v>
      </c>
      <c r="I9" s="222">
        <f t="shared" ref="I9:I69" si="1">VLOOKUP(G9,position,2,TRUE)</f>
        <v>1</v>
      </c>
      <c r="J9" s="223">
        <f>I9</f>
        <v>1</v>
      </c>
      <c r="K9" s="220">
        <v>1</v>
      </c>
      <c r="L9" s="221">
        <v>32.39</v>
      </c>
      <c r="M9" s="222">
        <f t="shared" ref="M9:M69" si="2">VLOOKUP(K9,position,2,TRUE)</f>
        <v>4</v>
      </c>
      <c r="N9" s="223">
        <f>M9</f>
        <v>4</v>
      </c>
      <c r="O9" s="220">
        <v>3</v>
      </c>
      <c r="P9" s="221">
        <v>33.840000000000003</v>
      </c>
      <c r="Q9" s="222">
        <f t="shared" ref="Q9:Q69" si="3">VLOOKUP(O9,position,2,TRUE)</f>
        <v>2</v>
      </c>
      <c r="R9" s="224">
        <f>Q9</f>
        <v>2</v>
      </c>
      <c r="T9" s="225">
        <v>1</v>
      </c>
      <c r="U9" s="226">
        <v>4</v>
      </c>
    </row>
    <row r="10" spans="1:21" ht="24.75" customHeight="1" x14ac:dyDescent="0.2">
      <c r="A10" s="16">
        <v>2</v>
      </c>
      <c r="B10" s="17" t="s">
        <v>19</v>
      </c>
      <c r="C10" s="220">
        <v>1</v>
      </c>
      <c r="D10" s="221">
        <v>30.18</v>
      </c>
      <c r="E10" s="222">
        <f t="shared" si="0"/>
        <v>4</v>
      </c>
      <c r="F10" s="223">
        <f t="shared" ref="F10:F69" si="4">F9+E10</f>
        <v>7</v>
      </c>
      <c r="G10" s="220">
        <v>2</v>
      </c>
      <c r="H10" s="221">
        <v>31.48</v>
      </c>
      <c r="I10" s="222">
        <f t="shared" si="1"/>
        <v>3</v>
      </c>
      <c r="J10" s="223">
        <f t="shared" ref="J10:J69" si="5">J9+I10</f>
        <v>4</v>
      </c>
      <c r="K10" s="220">
        <v>3</v>
      </c>
      <c r="L10" s="221">
        <v>32.6</v>
      </c>
      <c r="M10" s="222">
        <f t="shared" si="2"/>
        <v>2</v>
      </c>
      <c r="N10" s="223">
        <f t="shared" ref="N10:N69" si="6">N9+M10</f>
        <v>6</v>
      </c>
      <c r="O10" s="220">
        <v>4</v>
      </c>
      <c r="P10" s="221">
        <v>35.369999999999997</v>
      </c>
      <c r="Q10" s="222">
        <f t="shared" si="3"/>
        <v>1</v>
      </c>
      <c r="R10" s="224">
        <f t="shared" ref="R10:R69" si="7">R9+Q10</f>
        <v>3</v>
      </c>
      <c r="T10" s="225">
        <v>2</v>
      </c>
      <c r="U10" s="226">
        <v>3</v>
      </c>
    </row>
    <row r="11" spans="1:21" ht="24.75" customHeight="1" x14ac:dyDescent="0.2">
      <c r="A11" s="16">
        <v>3</v>
      </c>
      <c r="B11" s="17" t="s">
        <v>20</v>
      </c>
      <c r="C11" s="220">
        <v>1</v>
      </c>
      <c r="D11" s="221">
        <v>37.630000000000003</v>
      </c>
      <c r="E11" s="222">
        <f t="shared" si="0"/>
        <v>4</v>
      </c>
      <c r="F11" s="223">
        <f t="shared" si="4"/>
        <v>11</v>
      </c>
      <c r="G11" s="220">
        <v>2</v>
      </c>
      <c r="H11" s="221">
        <v>38.25</v>
      </c>
      <c r="I11" s="222">
        <f t="shared" si="1"/>
        <v>3</v>
      </c>
      <c r="J11" s="223">
        <f t="shared" si="5"/>
        <v>7</v>
      </c>
      <c r="K11" s="220" t="s">
        <v>25</v>
      </c>
      <c r="L11" s="221" t="s">
        <v>25</v>
      </c>
      <c r="M11" s="222">
        <f t="shared" si="2"/>
        <v>0</v>
      </c>
      <c r="N11" s="223">
        <f t="shared" si="6"/>
        <v>6</v>
      </c>
      <c r="O11" s="220">
        <v>3</v>
      </c>
      <c r="P11" s="221">
        <v>40.93</v>
      </c>
      <c r="Q11" s="222">
        <f t="shared" si="3"/>
        <v>2</v>
      </c>
      <c r="R11" s="224">
        <f t="shared" si="7"/>
        <v>5</v>
      </c>
      <c r="T11" s="225">
        <v>3</v>
      </c>
      <c r="U11" s="226">
        <v>2</v>
      </c>
    </row>
    <row r="12" spans="1:21" ht="24.75" customHeight="1" x14ac:dyDescent="0.2">
      <c r="A12" s="16">
        <v>4</v>
      </c>
      <c r="B12" s="17" t="s">
        <v>21</v>
      </c>
      <c r="C12" s="220">
        <v>2</v>
      </c>
      <c r="D12" s="221">
        <v>38.69</v>
      </c>
      <c r="E12" s="222">
        <f t="shared" si="0"/>
        <v>3</v>
      </c>
      <c r="F12" s="223">
        <f t="shared" si="4"/>
        <v>14</v>
      </c>
      <c r="G12" s="220">
        <v>4</v>
      </c>
      <c r="H12" s="221">
        <v>47.4</v>
      </c>
      <c r="I12" s="222">
        <f t="shared" si="1"/>
        <v>1</v>
      </c>
      <c r="J12" s="223">
        <f t="shared" si="5"/>
        <v>8</v>
      </c>
      <c r="K12" s="220">
        <v>3</v>
      </c>
      <c r="L12" s="221">
        <v>41.87</v>
      </c>
      <c r="M12" s="222">
        <f t="shared" si="2"/>
        <v>2</v>
      </c>
      <c r="N12" s="223">
        <f t="shared" si="6"/>
        <v>8</v>
      </c>
      <c r="O12" s="220">
        <v>1</v>
      </c>
      <c r="P12" s="221">
        <v>36.43</v>
      </c>
      <c r="Q12" s="222">
        <f t="shared" si="3"/>
        <v>4</v>
      </c>
      <c r="R12" s="224">
        <f t="shared" si="7"/>
        <v>9</v>
      </c>
      <c r="T12" s="225">
        <v>4</v>
      </c>
      <c r="U12" s="226">
        <v>1</v>
      </c>
    </row>
    <row r="13" spans="1:21" ht="24.75" customHeight="1" x14ac:dyDescent="0.2">
      <c r="A13" s="16">
        <v>5</v>
      </c>
      <c r="B13" s="17" t="s">
        <v>22</v>
      </c>
      <c r="C13" s="220">
        <v>1</v>
      </c>
      <c r="D13" s="221">
        <v>39.700000000000003</v>
      </c>
      <c r="E13" s="222">
        <f t="shared" si="0"/>
        <v>4</v>
      </c>
      <c r="F13" s="223">
        <f t="shared" si="4"/>
        <v>18</v>
      </c>
      <c r="G13" s="220">
        <v>4</v>
      </c>
      <c r="H13" s="221">
        <v>46.62</v>
      </c>
      <c r="I13" s="222">
        <f t="shared" si="1"/>
        <v>1</v>
      </c>
      <c r="J13" s="223">
        <f t="shared" si="5"/>
        <v>9</v>
      </c>
      <c r="K13" s="220">
        <v>2</v>
      </c>
      <c r="L13" s="221">
        <v>42.7</v>
      </c>
      <c r="M13" s="222">
        <f t="shared" si="2"/>
        <v>3</v>
      </c>
      <c r="N13" s="223">
        <f t="shared" si="6"/>
        <v>11</v>
      </c>
      <c r="O13" s="220">
        <v>3</v>
      </c>
      <c r="P13" s="221">
        <v>43.08</v>
      </c>
      <c r="Q13" s="222">
        <f t="shared" si="3"/>
        <v>2</v>
      </c>
      <c r="R13" s="224">
        <f t="shared" si="7"/>
        <v>11</v>
      </c>
      <c r="T13" s="225" t="s">
        <v>23</v>
      </c>
      <c r="U13" s="226">
        <v>0</v>
      </c>
    </row>
    <row r="14" spans="1:21" ht="24.75" customHeight="1" x14ac:dyDescent="0.2">
      <c r="A14" s="16">
        <v>6</v>
      </c>
      <c r="B14" s="17" t="s">
        <v>24</v>
      </c>
      <c r="C14" s="220">
        <v>4</v>
      </c>
      <c r="D14" s="221">
        <v>42.69</v>
      </c>
      <c r="E14" s="222">
        <f t="shared" si="0"/>
        <v>1</v>
      </c>
      <c r="F14" s="223">
        <f t="shared" si="4"/>
        <v>19</v>
      </c>
      <c r="G14" s="220">
        <v>3</v>
      </c>
      <c r="H14" s="221">
        <v>39.18</v>
      </c>
      <c r="I14" s="222">
        <f t="shared" si="1"/>
        <v>2</v>
      </c>
      <c r="J14" s="223">
        <f t="shared" si="5"/>
        <v>11</v>
      </c>
      <c r="K14" s="220">
        <v>2</v>
      </c>
      <c r="L14" s="221">
        <v>36.69</v>
      </c>
      <c r="M14" s="222">
        <f t="shared" si="2"/>
        <v>3</v>
      </c>
      <c r="N14" s="223">
        <f t="shared" si="6"/>
        <v>14</v>
      </c>
      <c r="O14" s="220">
        <v>1</v>
      </c>
      <c r="P14" s="221">
        <v>35.33</v>
      </c>
      <c r="Q14" s="222">
        <f t="shared" si="3"/>
        <v>4</v>
      </c>
      <c r="R14" s="224">
        <f t="shared" si="7"/>
        <v>15</v>
      </c>
      <c r="T14" s="225" t="s">
        <v>25</v>
      </c>
      <c r="U14" s="226">
        <v>0</v>
      </c>
    </row>
    <row r="15" spans="1:21" ht="24.75" customHeight="1" x14ac:dyDescent="0.2">
      <c r="A15" s="16">
        <v>7</v>
      </c>
      <c r="B15" s="17" t="s">
        <v>26</v>
      </c>
      <c r="C15" s="220">
        <v>2</v>
      </c>
      <c r="D15" s="221">
        <v>17.03</v>
      </c>
      <c r="E15" s="222">
        <f t="shared" si="0"/>
        <v>3</v>
      </c>
      <c r="F15" s="223">
        <f t="shared" si="4"/>
        <v>22</v>
      </c>
      <c r="G15" s="220">
        <v>1</v>
      </c>
      <c r="H15" s="221">
        <v>16.260000000000002</v>
      </c>
      <c r="I15" s="222">
        <f t="shared" si="1"/>
        <v>4</v>
      </c>
      <c r="J15" s="223">
        <f t="shared" si="5"/>
        <v>15</v>
      </c>
      <c r="K15" s="220">
        <v>4</v>
      </c>
      <c r="L15" s="221">
        <v>19.149999999999999</v>
      </c>
      <c r="M15" s="222">
        <f t="shared" si="2"/>
        <v>1</v>
      </c>
      <c r="N15" s="223">
        <f t="shared" si="6"/>
        <v>15</v>
      </c>
      <c r="O15" s="220">
        <v>3</v>
      </c>
      <c r="P15" s="221">
        <v>19</v>
      </c>
      <c r="Q15" s="222">
        <f t="shared" si="3"/>
        <v>2</v>
      </c>
      <c r="R15" s="224">
        <f t="shared" si="7"/>
        <v>17</v>
      </c>
      <c r="T15" s="225" t="s">
        <v>27</v>
      </c>
      <c r="U15" s="226">
        <v>0</v>
      </c>
    </row>
    <row r="16" spans="1:21" ht="24.75" customHeight="1" x14ac:dyDescent="0.2">
      <c r="A16" s="16">
        <v>8</v>
      </c>
      <c r="B16" s="17" t="s">
        <v>28</v>
      </c>
      <c r="C16" s="220">
        <v>1</v>
      </c>
      <c r="D16" s="221">
        <v>15.81</v>
      </c>
      <c r="E16" s="222">
        <f t="shared" si="0"/>
        <v>4</v>
      </c>
      <c r="F16" s="223">
        <f t="shared" si="4"/>
        <v>26</v>
      </c>
      <c r="G16" s="220">
        <v>3</v>
      </c>
      <c r="H16" s="221">
        <v>19.39</v>
      </c>
      <c r="I16" s="222">
        <f t="shared" si="1"/>
        <v>2</v>
      </c>
      <c r="J16" s="223">
        <f t="shared" si="5"/>
        <v>17</v>
      </c>
      <c r="K16" s="220">
        <v>2</v>
      </c>
      <c r="L16" s="221">
        <v>16.46</v>
      </c>
      <c r="M16" s="222">
        <f t="shared" si="2"/>
        <v>3</v>
      </c>
      <c r="N16" s="223">
        <f t="shared" si="6"/>
        <v>18</v>
      </c>
      <c r="O16" s="220">
        <v>4</v>
      </c>
      <c r="P16" s="221">
        <v>19.79</v>
      </c>
      <c r="Q16" s="222">
        <f t="shared" si="3"/>
        <v>1</v>
      </c>
      <c r="R16" s="224">
        <f t="shared" si="7"/>
        <v>18</v>
      </c>
      <c r="T16" s="227" t="s">
        <v>18</v>
      </c>
      <c r="U16" s="228">
        <v>0</v>
      </c>
    </row>
    <row r="17" spans="1:18" ht="24.75" customHeight="1" x14ac:dyDescent="0.2">
      <c r="A17" s="16">
        <v>9</v>
      </c>
      <c r="B17" s="17" t="s">
        <v>29</v>
      </c>
      <c r="C17" s="220">
        <v>2</v>
      </c>
      <c r="D17" s="221">
        <v>34.1</v>
      </c>
      <c r="E17" s="222">
        <f t="shared" si="0"/>
        <v>3</v>
      </c>
      <c r="F17" s="223">
        <f t="shared" si="4"/>
        <v>29</v>
      </c>
      <c r="G17" s="220">
        <v>4</v>
      </c>
      <c r="H17" s="221">
        <v>39.11</v>
      </c>
      <c r="I17" s="222">
        <f t="shared" si="1"/>
        <v>1</v>
      </c>
      <c r="J17" s="223">
        <f t="shared" si="5"/>
        <v>18</v>
      </c>
      <c r="K17" s="220">
        <v>3</v>
      </c>
      <c r="L17" s="221">
        <v>38.76</v>
      </c>
      <c r="M17" s="222">
        <f t="shared" si="2"/>
        <v>2</v>
      </c>
      <c r="N17" s="223">
        <f t="shared" si="6"/>
        <v>20</v>
      </c>
      <c r="O17" s="220">
        <v>1</v>
      </c>
      <c r="P17" s="221">
        <v>33.08</v>
      </c>
      <c r="Q17" s="222">
        <f t="shared" si="3"/>
        <v>4</v>
      </c>
      <c r="R17" s="224">
        <f t="shared" si="7"/>
        <v>22</v>
      </c>
    </row>
    <row r="18" spans="1:18" ht="24.75" customHeight="1" x14ac:dyDescent="0.2">
      <c r="A18" s="16">
        <v>10</v>
      </c>
      <c r="B18" s="229" t="s">
        <v>30</v>
      </c>
      <c r="C18" s="220">
        <v>2</v>
      </c>
      <c r="D18" s="221">
        <v>39.72</v>
      </c>
      <c r="E18" s="222">
        <f t="shared" si="0"/>
        <v>3</v>
      </c>
      <c r="F18" s="223">
        <f t="shared" si="4"/>
        <v>32</v>
      </c>
      <c r="G18" s="220">
        <v>1</v>
      </c>
      <c r="H18" s="221">
        <v>36.229999999999997</v>
      </c>
      <c r="I18" s="222">
        <f t="shared" si="1"/>
        <v>4</v>
      </c>
      <c r="J18" s="223">
        <f t="shared" si="5"/>
        <v>22</v>
      </c>
      <c r="K18" s="220">
        <v>4</v>
      </c>
      <c r="L18" s="221">
        <v>40.880000000000003</v>
      </c>
      <c r="M18" s="222">
        <f t="shared" si="2"/>
        <v>1</v>
      </c>
      <c r="N18" s="223">
        <f t="shared" si="6"/>
        <v>21</v>
      </c>
      <c r="O18" s="220">
        <v>3</v>
      </c>
      <c r="P18" s="221">
        <v>40.69</v>
      </c>
      <c r="Q18" s="222">
        <f t="shared" si="3"/>
        <v>2</v>
      </c>
      <c r="R18" s="224">
        <f t="shared" si="7"/>
        <v>24</v>
      </c>
    </row>
    <row r="19" spans="1:18" ht="24.75" customHeight="1" x14ac:dyDescent="0.2">
      <c r="A19" s="16">
        <v>11</v>
      </c>
      <c r="B19" s="18" t="s">
        <v>200</v>
      </c>
      <c r="C19" s="220">
        <v>1</v>
      </c>
      <c r="D19" s="221" t="s">
        <v>498</v>
      </c>
      <c r="E19" s="222">
        <f t="shared" si="0"/>
        <v>4</v>
      </c>
      <c r="F19" s="223">
        <f t="shared" si="4"/>
        <v>36</v>
      </c>
      <c r="G19" s="220">
        <v>3</v>
      </c>
      <c r="H19" s="221" t="s">
        <v>499</v>
      </c>
      <c r="I19" s="222">
        <f t="shared" si="1"/>
        <v>2</v>
      </c>
      <c r="J19" s="223">
        <f t="shared" si="5"/>
        <v>24</v>
      </c>
      <c r="K19" s="220" t="s">
        <v>25</v>
      </c>
      <c r="L19" s="221" t="s">
        <v>25</v>
      </c>
      <c r="M19" s="222">
        <f t="shared" si="2"/>
        <v>0</v>
      </c>
      <c r="N19" s="223">
        <f t="shared" si="6"/>
        <v>21</v>
      </c>
      <c r="O19" s="220">
        <v>2</v>
      </c>
      <c r="P19" s="221" t="s">
        <v>500</v>
      </c>
      <c r="Q19" s="222">
        <f t="shared" si="3"/>
        <v>3</v>
      </c>
      <c r="R19" s="224">
        <f t="shared" si="7"/>
        <v>27</v>
      </c>
    </row>
    <row r="20" spans="1:18" ht="24.75" customHeight="1" x14ac:dyDescent="0.2">
      <c r="A20" s="16">
        <v>12</v>
      </c>
      <c r="B20" s="18" t="s">
        <v>201</v>
      </c>
      <c r="C20" s="220">
        <v>1</v>
      </c>
      <c r="D20" s="459" t="s">
        <v>502</v>
      </c>
      <c r="E20" s="222">
        <f t="shared" si="0"/>
        <v>4</v>
      </c>
      <c r="F20" s="223">
        <f t="shared" si="4"/>
        <v>40</v>
      </c>
      <c r="G20" s="220">
        <v>2</v>
      </c>
      <c r="H20" s="221" t="s">
        <v>503</v>
      </c>
      <c r="I20" s="222">
        <f t="shared" si="1"/>
        <v>3</v>
      </c>
      <c r="J20" s="223">
        <f t="shared" si="5"/>
        <v>27</v>
      </c>
      <c r="K20" s="220">
        <v>3</v>
      </c>
      <c r="L20" s="221" t="s">
        <v>504</v>
      </c>
      <c r="M20" s="222">
        <f t="shared" si="2"/>
        <v>2</v>
      </c>
      <c r="N20" s="223">
        <f t="shared" si="6"/>
        <v>23</v>
      </c>
      <c r="O20" s="220">
        <v>4</v>
      </c>
      <c r="P20" s="221" t="s">
        <v>505</v>
      </c>
      <c r="Q20" s="222">
        <f t="shared" si="3"/>
        <v>1</v>
      </c>
      <c r="R20" s="224">
        <f t="shared" si="7"/>
        <v>28</v>
      </c>
    </row>
    <row r="21" spans="1:18" ht="24.75" customHeight="1" x14ac:dyDescent="0.2">
      <c r="A21" s="16">
        <v>13</v>
      </c>
      <c r="B21" s="17" t="s">
        <v>202</v>
      </c>
      <c r="C21" s="220">
        <v>1</v>
      </c>
      <c r="D21" s="221" t="s">
        <v>583</v>
      </c>
      <c r="E21" s="222">
        <f t="shared" si="0"/>
        <v>4</v>
      </c>
      <c r="F21" s="223">
        <f t="shared" si="4"/>
        <v>44</v>
      </c>
      <c r="G21" s="220">
        <v>2</v>
      </c>
      <c r="H21" s="221" t="s">
        <v>513</v>
      </c>
      <c r="I21" s="222">
        <f t="shared" si="1"/>
        <v>3</v>
      </c>
      <c r="J21" s="223">
        <f t="shared" si="5"/>
        <v>30</v>
      </c>
      <c r="K21" s="220">
        <v>4</v>
      </c>
      <c r="L21" s="221" t="s">
        <v>507</v>
      </c>
      <c r="M21" s="222">
        <f t="shared" si="2"/>
        <v>1</v>
      </c>
      <c r="N21" s="223">
        <f t="shared" si="6"/>
        <v>24</v>
      </c>
      <c r="O21" s="220">
        <v>3</v>
      </c>
      <c r="P21" s="221" t="s">
        <v>508</v>
      </c>
      <c r="Q21" s="222">
        <f t="shared" si="3"/>
        <v>2</v>
      </c>
      <c r="R21" s="224">
        <f t="shared" si="7"/>
        <v>30</v>
      </c>
    </row>
    <row r="22" spans="1:18" ht="24.75" customHeight="1" x14ac:dyDescent="0.2">
      <c r="A22" s="16">
        <v>14</v>
      </c>
      <c r="B22" s="17" t="s">
        <v>203</v>
      </c>
      <c r="C22" s="220">
        <v>1</v>
      </c>
      <c r="D22" s="221" t="s">
        <v>509</v>
      </c>
      <c r="E22" s="222">
        <f t="shared" si="0"/>
        <v>4</v>
      </c>
      <c r="F22" s="223">
        <f t="shared" si="4"/>
        <v>48</v>
      </c>
      <c r="G22" s="220">
        <v>4</v>
      </c>
      <c r="H22" s="221" t="s">
        <v>510</v>
      </c>
      <c r="I22" s="222">
        <f t="shared" si="1"/>
        <v>1</v>
      </c>
      <c r="J22" s="223">
        <f t="shared" si="5"/>
        <v>31</v>
      </c>
      <c r="K22" s="220">
        <v>3</v>
      </c>
      <c r="L22" s="221" t="s">
        <v>511</v>
      </c>
      <c r="M22" s="222">
        <f t="shared" si="2"/>
        <v>2</v>
      </c>
      <c r="N22" s="223">
        <f t="shared" si="6"/>
        <v>26</v>
      </c>
      <c r="O22" s="220">
        <v>2</v>
      </c>
      <c r="P22" s="221" t="s">
        <v>512</v>
      </c>
      <c r="Q22" s="222">
        <f t="shared" si="3"/>
        <v>3</v>
      </c>
      <c r="R22" s="224">
        <f t="shared" si="7"/>
        <v>33</v>
      </c>
    </row>
    <row r="23" spans="1:18" ht="24.75" customHeight="1" x14ac:dyDescent="0.2">
      <c r="A23" s="16">
        <v>15</v>
      </c>
      <c r="B23" s="17" t="s">
        <v>31</v>
      </c>
      <c r="C23" s="220">
        <v>1</v>
      </c>
      <c r="D23" s="221">
        <v>39.99</v>
      </c>
      <c r="E23" s="222">
        <f t="shared" si="0"/>
        <v>4</v>
      </c>
      <c r="F23" s="223">
        <f t="shared" si="4"/>
        <v>52</v>
      </c>
      <c r="G23" s="220">
        <v>4</v>
      </c>
      <c r="H23" s="221">
        <v>46.8</v>
      </c>
      <c r="I23" s="222">
        <f t="shared" si="1"/>
        <v>1</v>
      </c>
      <c r="J23" s="223">
        <f t="shared" si="5"/>
        <v>32</v>
      </c>
      <c r="K23" s="220">
        <v>2</v>
      </c>
      <c r="L23" s="221">
        <v>42.74</v>
      </c>
      <c r="M23" s="222">
        <f t="shared" si="2"/>
        <v>3</v>
      </c>
      <c r="N23" s="223">
        <f t="shared" si="6"/>
        <v>29</v>
      </c>
      <c r="O23" s="220">
        <v>3</v>
      </c>
      <c r="P23" s="221">
        <v>46.68</v>
      </c>
      <c r="Q23" s="222">
        <f t="shared" si="3"/>
        <v>2</v>
      </c>
      <c r="R23" s="224">
        <f t="shared" si="7"/>
        <v>35</v>
      </c>
    </row>
    <row r="24" spans="1:18" ht="24.75" customHeight="1" x14ac:dyDescent="0.2">
      <c r="A24" s="16">
        <v>16</v>
      </c>
      <c r="B24" s="17" t="s">
        <v>32</v>
      </c>
      <c r="C24" s="220">
        <v>1</v>
      </c>
      <c r="D24" s="221">
        <v>42.4</v>
      </c>
      <c r="E24" s="222">
        <f t="shared" si="0"/>
        <v>4</v>
      </c>
      <c r="F24" s="223">
        <f t="shared" si="4"/>
        <v>56</v>
      </c>
      <c r="G24" s="220">
        <v>3</v>
      </c>
      <c r="H24" s="221">
        <v>43.63</v>
      </c>
      <c r="I24" s="222">
        <f t="shared" si="1"/>
        <v>2</v>
      </c>
      <c r="J24" s="223">
        <f t="shared" si="5"/>
        <v>34</v>
      </c>
      <c r="K24" s="220">
        <v>2</v>
      </c>
      <c r="L24" s="221">
        <v>43.3</v>
      </c>
      <c r="M24" s="222">
        <f t="shared" si="2"/>
        <v>3</v>
      </c>
      <c r="N24" s="223">
        <f t="shared" si="6"/>
        <v>32</v>
      </c>
      <c r="O24" s="220" t="s">
        <v>25</v>
      </c>
      <c r="P24" s="221" t="s">
        <v>25</v>
      </c>
      <c r="Q24" s="222">
        <f t="shared" si="3"/>
        <v>0</v>
      </c>
      <c r="R24" s="224">
        <f t="shared" si="7"/>
        <v>35</v>
      </c>
    </row>
    <row r="25" spans="1:18" ht="24.75" customHeight="1" x14ac:dyDescent="0.2">
      <c r="A25" s="16">
        <v>17</v>
      </c>
      <c r="B25" s="17" t="s">
        <v>33</v>
      </c>
      <c r="C25" s="220">
        <v>2</v>
      </c>
      <c r="D25" s="221">
        <v>20.97</v>
      </c>
      <c r="E25" s="222">
        <f t="shared" si="0"/>
        <v>3</v>
      </c>
      <c r="F25" s="223">
        <f t="shared" si="4"/>
        <v>59</v>
      </c>
      <c r="G25" s="220">
        <v>1</v>
      </c>
      <c r="H25" s="221">
        <v>18.12</v>
      </c>
      <c r="I25" s="222">
        <f t="shared" si="1"/>
        <v>4</v>
      </c>
      <c r="J25" s="223">
        <f t="shared" si="5"/>
        <v>38</v>
      </c>
      <c r="K25" s="220">
        <v>4</v>
      </c>
      <c r="L25" s="221">
        <v>22.4</v>
      </c>
      <c r="M25" s="222">
        <f t="shared" si="2"/>
        <v>1</v>
      </c>
      <c r="N25" s="223">
        <f t="shared" si="6"/>
        <v>33</v>
      </c>
      <c r="O25" s="220">
        <v>3</v>
      </c>
      <c r="P25" s="221">
        <v>21.94</v>
      </c>
      <c r="Q25" s="222">
        <f t="shared" si="3"/>
        <v>2</v>
      </c>
      <c r="R25" s="224">
        <f t="shared" si="7"/>
        <v>37</v>
      </c>
    </row>
    <row r="26" spans="1:18" ht="24.75" customHeight="1" x14ac:dyDescent="0.2">
      <c r="A26" s="16">
        <v>18</v>
      </c>
      <c r="B26" s="17" t="s">
        <v>34</v>
      </c>
      <c r="C26" s="220">
        <v>1</v>
      </c>
      <c r="D26" s="221">
        <v>19.600000000000001</v>
      </c>
      <c r="E26" s="222">
        <f t="shared" si="0"/>
        <v>4</v>
      </c>
      <c r="F26" s="223">
        <f t="shared" si="4"/>
        <v>63</v>
      </c>
      <c r="G26" s="220">
        <v>4</v>
      </c>
      <c r="H26" s="221">
        <v>27.92</v>
      </c>
      <c r="I26" s="222">
        <f t="shared" si="1"/>
        <v>1</v>
      </c>
      <c r="J26" s="223">
        <f t="shared" si="5"/>
        <v>39</v>
      </c>
      <c r="K26" s="220">
        <v>2</v>
      </c>
      <c r="L26" s="221">
        <v>20.53</v>
      </c>
      <c r="M26" s="222">
        <f t="shared" si="2"/>
        <v>3</v>
      </c>
      <c r="N26" s="223">
        <f t="shared" si="6"/>
        <v>36</v>
      </c>
      <c r="O26" s="220">
        <v>3</v>
      </c>
      <c r="P26" s="221">
        <v>21.13</v>
      </c>
      <c r="Q26" s="222">
        <f t="shared" si="3"/>
        <v>2</v>
      </c>
      <c r="R26" s="224">
        <f t="shared" si="7"/>
        <v>39</v>
      </c>
    </row>
    <row r="27" spans="1:18" ht="24.75" customHeight="1" x14ac:dyDescent="0.2">
      <c r="A27" s="16">
        <v>19</v>
      </c>
      <c r="B27" s="17" t="s">
        <v>35</v>
      </c>
      <c r="C27" s="220">
        <v>1</v>
      </c>
      <c r="D27" s="221">
        <v>31.96</v>
      </c>
      <c r="E27" s="222">
        <f t="shared" si="0"/>
        <v>4</v>
      </c>
      <c r="F27" s="223">
        <f t="shared" si="4"/>
        <v>67</v>
      </c>
      <c r="G27" s="220">
        <v>4</v>
      </c>
      <c r="H27" s="221">
        <v>35.57</v>
      </c>
      <c r="I27" s="222">
        <f t="shared" si="1"/>
        <v>1</v>
      </c>
      <c r="J27" s="223">
        <f t="shared" si="5"/>
        <v>40</v>
      </c>
      <c r="K27" s="220">
        <v>2</v>
      </c>
      <c r="L27" s="221">
        <v>33.99</v>
      </c>
      <c r="M27" s="222">
        <f t="shared" si="2"/>
        <v>3</v>
      </c>
      <c r="N27" s="223">
        <f t="shared" si="6"/>
        <v>39</v>
      </c>
      <c r="O27" s="220">
        <v>3</v>
      </c>
      <c r="P27" s="221">
        <v>34.950000000000003</v>
      </c>
      <c r="Q27" s="222">
        <f t="shared" si="3"/>
        <v>2</v>
      </c>
      <c r="R27" s="224">
        <f t="shared" si="7"/>
        <v>41</v>
      </c>
    </row>
    <row r="28" spans="1:18" ht="24.75" customHeight="1" x14ac:dyDescent="0.2">
      <c r="A28" s="16">
        <v>20</v>
      </c>
      <c r="B28" s="17" t="s">
        <v>36</v>
      </c>
      <c r="C28" s="220">
        <v>4</v>
      </c>
      <c r="D28" s="221">
        <v>33.729999999999997</v>
      </c>
      <c r="E28" s="222">
        <f t="shared" si="0"/>
        <v>1</v>
      </c>
      <c r="F28" s="223">
        <f t="shared" si="4"/>
        <v>68</v>
      </c>
      <c r="G28" s="220">
        <v>3</v>
      </c>
      <c r="H28" s="221">
        <v>32.159999999999997</v>
      </c>
      <c r="I28" s="222">
        <f t="shared" si="1"/>
        <v>2</v>
      </c>
      <c r="J28" s="223">
        <f t="shared" si="5"/>
        <v>42</v>
      </c>
      <c r="K28" s="220">
        <v>2</v>
      </c>
      <c r="L28" s="221">
        <v>30.83</v>
      </c>
      <c r="M28" s="222">
        <f t="shared" si="2"/>
        <v>3</v>
      </c>
      <c r="N28" s="223">
        <f t="shared" si="6"/>
        <v>42</v>
      </c>
      <c r="O28" s="220">
        <v>1</v>
      </c>
      <c r="P28" s="221">
        <v>30.11</v>
      </c>
      <c r="Q28" s="222">
        <f t="shared" si="3"/>
        <v>4</v>
      </c>
      <c r="R28" s="224">
        <f t="shared" si="7"/>
        <v>45</v>
      </c>
    </row>
    <row r="29" spans="1:18" ht="24.75" customHeight="1" x14ac:dyDescent="0.2">
      <c r="A29" s="16">
        <v>21</v>
      </c>
      <c r="B29" s="17" t="s">
        <v>37</v>
      </c>
      <c r="C29" s="220">
        <v>2</v>
      </c>
      <c r="D29" s="221">
        <v>33.94</v>
      </c>
      <c r="E29" s="222">
        <f t="shared" si="0"/>
        <v>3</v>
      </c>
      <c r="F29" s="223">
        <f t="shared" si="4"/>
        <v>71</v>
      </c>
      <c r="G29" s="220">
        <v>3</v>
      </c>
      <c r="H29" s="221">
        <v>34.6</v>
      </c>
      <c r="I29" s="222">
        <f t="shared" si="1"/>
        <v>2</v>
      </c>
      <c r="J29" s="223">
        <f t="shared" si="5"/>
        <v>44</v>
      </c>
      <c r="K29" s="220">
        <v>4</v>
      </c>
      <c r="L29" s="221">
        <v>36.82</v>
      </c>
      <c r="M29" s="222">
        <f t="shared" si="2"/>
        <v>1</v>
      </c>
      <c r="N29" s="223">
        <f t="shared" si="6"/>
        <v>43</v>
      </c>
      <c r="O29" s="220">
        <v>1</v>
      </c>
      <c r="P29" s="221">
        <v>33.46</v>
      </c>
      <c r="Q29" s="222">
        <f t="shared" si="3"/>
        <v>4</v>
      </c>
      <c r="R29" s="224">
        <f t="shared" si="7"/>
        <v>49</v>
      </c>
    </row>
    <row r="30" spans="1:18" ht="24.75" customHeight="1" x14ac:dyDescent="0.2">
      <c r="A30" s="16">
        <v>22</v>
      </c>
      <c r="B30" s="230" t="s">
        <v>38</v>
      </c>
      <c r="C30" s="220">
        <v>2</v>
      </c>
      <c r="D30" s="221">
        <v>32.72</v>
      </c>
      <c r="E30" s="222">
        <f t="shared" si="0"/>
        <v>3</v>
      </c>
      <c r="F30" s="223">
        <f t="shared" si="4"/>
        <v>74</v>
      </c>
      <c r="G30" s="220">
        <v>3</v>
      </c>
      <c r="H30" s="221">
        <v>37.01</v>
      </c>
      <c r="I30" s="222">
        <f t="shared" si="1"/>
        <v>2</v>
      </c>
      <c r="J30" s="223">
        <f t="shared" si="5"/>
        <v>46</v>
      </c>
      <c r="K30" s="220">
        <v>4</v>
      </c>
      <c r="L30" s="221">
        <v>37.090000000000003</v>
      </c>
      <c r="M30" s="222">
        <f t="shared" si="2"/>
        <v>1</v>
      </c>
      <c r="N30" s="223">
        <f t="shared" si="6"/>
        <v>44</v>
      </c>
      <c r="O30" s="220">
        <v>1</v>
      </c>
      <c r="P30" s="221">
        <v>31.98</v>
      </c>
      <c r="Q30" s="222">
        <f t="shared" si="3"/>
        <v>4</v>
      </c>
      <c r="R30" s="224">
        <f t="shared" si="7"/>
        <v>53</v>
      </c>
    </row>
    <row r="31" spans="1:18" ht="24.75" customHeight="1" x14ac:dyDescent="0.2">
      <c r="A31" s="16">
        <v>23</v>
      </c>
      <c r="B31" s="18" t="s">
        <v>39</v>
      </c>
      <c r="C31" s="220">
        <v>1</v>
      </c>
      <c r="D31" s="221">
        <v>35.33</v>
      </c>
      <c r="E31" s="222">
        <f t="shared" si="0"/>
        <v>4</v>
      </c>
      <c r="F31" s="223">
        <f t="shared" si="4"/>
        <v>78</v>
      </c>
      <c r="G31" s="220">
        <v>2</v>
      </c>
      <c r="H31" s="221">
        <v>41.34</v>
      </c>
      <c r="I31" s="222">
        <f t="shared" si="1"/>
        <v>3</v>
      </c>
      <c r="J31" s="223">
        <f t="shared" si="5"/>
        <v>49</v>
      </c>
      <c r="K31" s="220">
        <v>3</v>
      </c>
      <c r="L31" s="221">
        <v>43.89</v>
      </c>
      <c r="M31" s="222">
        <f t="shared" si="2"/>
        <v>2</v>
      </c>
      <c r="N31" s="223">
        <f t="shared" si="6"/>
        <v>46</v>
      </c>
      <c r="O31" s="220">
        <v>4</v>
      </c>
      <c r="P31" s="221">
        <v>44.14</v>
      </c>
      <c r="Q31" s="222">
        <f t="shared" si="3"/>
        <v>1</v>
      </c>
      <c r="R31" s="224">
        <f t="shared" si="7"/>
        <v>54</v>
      </c>
    </row>
    <row r="32" spans="1:18" ht="24.75" customHeight="1" x14ac:dyDescent="0.2">
      <c r="A32" s="16">
        <v>24</v>
      </c>
      <c r="B32" s="17" t="s">
        <v>40</v>
      </c>
      <c r="C32" s="220">
        <v>1</v>
      </c>
      <c r="D32" s="221">
        <v>30.54</v>
      </c>
      <c r="E32" s="222">
        <f t="shared" si="0"/>
        <v>4</v>
      </c>
      <c r="F32" s="223">
        <f t="shared" si="4"/>
        <v>82</v>
      </c>
      <c r="G32" s="220">
        <v>2</v>
      </c>
      <c r="H32" s="221">
        <v>33.35</v>
      </c>
      <c r="I32" s="222">
        <f t="shared" si="1"/>
        <v>3</v>
      </c>
      <c r="J32" s="223">
        <f t="shared" si="5"/>
        <v>52</v>
      </c>
      <c r="K32" s="220">
        <v>3</v>
      </c>
      <c r="L32" s="221">
        <v>36.4</v>
      </c>
      <c r="M32" s="222">
        <f t="shared" si="2"/>
        <v>2</v>
      </c>
      <c r="N32" s="223">
        <f t="shared" si="6"/>
        <v>48</v>
      </c>
      <c r="O32" s="220">
        <v>4</v>
      </c>
      <c r="P32" s="221">
        <v>37.619999999999997</v>
      </c>
      <c r="Q32" s="222">
        <f t="shared" si="3"/>
        <v>1</v>
      </c>
      <c r="R32" s="224">
        <f t="shared" si="7"/>
        <v>55</v>
      </c>
    </row>
    <row r="33" spans="1:18" ht="24.75" customHeight="1" x14ac:dyDescent="0.2">
      <c r="A33" s="16">
        <v>25</v>
      </c>
      <c r="B33" s="17" t="s">
        <v>187</v>
      </c>
      <c r="C33" s="220">
        <v>1</v>
      </c>
      <c r="D33" s="221" t="s">
        <v>516</v>
      </c>
      <c r="E33" s="222">
        <f t="shared" si="0"/>
        <v>4</v>
      </c>
      <c r="F33" s="223">
        <f t="shared" si="4"/>
        <v>86</v>
      </c>
      <c r="G33" s="220">
        <v>3</v>
      </c>
      <c r="H33" s="221" t="s">
        <v>517</v>
      </c>
      <c r="I33" s="222">
        <f t="shared" si="1"/>
        <v>2</v>
      </c>
      <c r="J33" s="223">
        <f t="shared" si="5"/>
        <v>54</v>
      </c>
      <c r="K33" s="220" t="s">
        <v>25</v>
      </c>
      <c r="L33" s="221" t="s">
        <v>25</v>
      </c>
      <c r="M33" s="222">
        <f t="shared" si="2"/>
        <v>0</v>
      </c>
      <c r="N33" s="223">
        <f t="shared" si="6"/>
        <v>48</v>
      </c>
      <c r="O33" s="220">
        <v>2</v>
      </c>
      <c r="P33" s="221" t="s">
        <v>518</v>
      </c>
      <c r="Q33" s="222">
        <f t="shared" si="3"/>
        <v>3</v>
      </c>
      <c r="R33" s="224">
        <f t="shared" si="7"/>
        <v>58</v>
      </c>
    </row>
    <row r="34" spans="1:18" ht="24.75" customHeight="1" x14ac:dyDescent="0.2">
      <c r="A34" s="16">
        <v>26</v>
      </c>
      <c r="B34" s="17" t="s">
        <v>188</v>
      </c>
      <c r="C34" s="220">
        <v>1</v>
      </c>
      <c r="D34" s="221" t="s">
        <v>519</v>
      </c>
      <c r="E34" s="222">
        <f t="shared" si="0"/>
        <v>4</v>
      </c>
      <c r="F34" s="223">
        <f t="shared" si="4"/>
        <v>90</v>
      </c>
      <c r="G34" s="220">
        <v>2</v>
      </c>
      <c r="H34" s="221" t="s">
        <v>520</v>
      </c>
      <c r="I34" s="222">
        <f t="shared" si="1"/>
        <v>3</v>
      </c>
      <c r="J34" s="223">
        <f t="shared" si="5"/>
        <v>57</v>
      </c>
      <c r="K34" s="220">
        <v>4</v>
      </c>
      <c r="L34" s="221" t="s">
        <v>521</v>
      </c>
      <c r="M34" s="222">
        <f t="shared" si="2"/>
        <v>1</v>
      </c>
      <c r="N34" s="223">
        <f t="shared" si="6"/>
        <v>49</v>
      </c>
      <c r="O34" s="220">
        <v>3</v>
      </c>
      <c r="P34" s="221" t="s">
        <v>522</v>
      </c>
      <c r="Q34" s="222">
        <f t="shared" si="3"/>
        <v>2</v>
      </c>
      <c r="R34" s="224">
        <f t="shared" si="7"/>
        <v>60</v>
      </c>
    </row>
    <row r="35" spans="1:18" ht="24.75" customHeight="1" x14ac:dyDescent="0.2">
      <c r="A35" s="16">
        <v>27</v>
      </c>
      <c r="B35" s="17" t="s">
        <v>41</v>
      </c>
      <c r="C35" s="220">
        <v>2</v>
      </c>
      <c r="D35" s="221" t="s">
        <v>523</v>
      </c>
      <c r="E35" s="222">
        <f t="shared" si="0"/>
        <v>3</v>
      </c>
      <c r="F35" s="223">
        <f t="shared" si="4"/>
        <v>93</v>
      </c>
      <c r="G35" s="220">
        <v>1</v>
      </c>
      <c r="H35" s="221" t="s">
        <v>524</v>
      </c>
      <c r="I35" s="222">
        <f t="shared" si="1"/>
        <v>4</v>
      </c>
      <c r="J35" s="223">
        <f t="shared" si="5"/>
        <v>61</v>
      </c>
      <c r="K35" s="220">
        <v>4</v>
      </c>
      <c r="L35" s="221" t="s">
        <v>525</v>
      </c>
      <c r="M35" s="222">
        <f t="shared" si="2"/>
        <v>1</v>
      </c>
      <c r="N35" s="223">
        <f t="shared" si="6"/>
        <v>50</v>
      </c>
      <c r="O35" s="220">
        <v>3</v>
      </c>
      <c r="P35" s="221" t="s">
        <v>526</v>
      </c>
      <c r="Q35" s="222">
        <f t="shared" si="3"/>
        <v>2</v>
      </c>
      <c r="R35" s="224">
        <f t="shared" si="7"/>
        <v>62</v>
      </c>
    </row>
    <row r="36" spans="1:18" ht="24.75" customHeight="1" x14ac:dyDescent="0.2">
      <c r="A36" s="16">
        <v>28</v>
      </c>
      <c r="B36" s="17" t="s">
        <v>42</v>
      </c>
      <c r="C36" s="220" t="s">
        <v>25</v>
      </c>
      <c r="D36" s="221" t="s">
        <v>25</v>
      </c>
      <c r="E36" s="222">
        <f t="shared" si="0"/>
        <v>0</v>
      </c>
      <c r="F36" s="223">
        <f t="shared" si="4"/>
        <v>93</v>
      </c>
      <c r="G36" s="220" t="s">
        <v>23</v>
      </c>
      <c r="H36" s="221" t="s">
        <v>23</v>
      </c>
      <c r="I36" s="222">
        <f t="shared" si="1"/>
        <v>0</v>
      </c>
      <c r="J36" s="223">
        <f t="shared" si="5"/>
        <v>61</v>
      </c>
      <c r="K36" s="220">
        <v>1</v>
      </c>
      <c r="L36" s="221" t="s">
        <v>527</v>
      </c>
      <c r="M36" s="222">
        <f t="shared" si="2"/>
        <v>4</v>
      </c>
      <c r="N36" s="223">
        <f t="shared" si="6"/>
        <v>54</v>
      </c>
      <c r="O36" s="220">
        <v>2</v>
      </c>
      <c r="P36" s="221" t="s">
        <v>528</v>
      </c>
      <c r="Q36" s="222">
        <f t="shared" si="3"/>
        <v>3</v>
      </c>
      <c r="R36" s="224">
        <f t="shared" si="7"/>
        <v>65</v>
      </c>
    </row>
    <row r="37" spans="1:18" ht="24.75" customHeight="1" x14ac:dyDescent="0.2">
      <c r="A37" s="16">
        <v>29</v>
      </c>
      <c r="B37" s="17" t="s">
        <v>189</v>
      </c>
      <c r="C37" s="220">
        <v>1</v>
      </c>
      <c r="D37" s="221" t="s">
        <v>529</v>
      </c>
      <c r="E37" s="222">
        <f t="shared" si="0"/>
        <v>4</v>
      </c>
      <c r="F37" s="223">
        <f t="shared" si="4"/>
        <v>97</v>
      </c>
      <c r="G37" s="220">
        <v>3</v>
      </c>
      <c r="H37" s="221" t="s">
        <v>530</v>
      </c>
      <c r="I37" s="222">
        <f t="shared" si="1"/>
        <v>2</v>
      </c>
      <c r="J37" s="223">
        <f t="shared" si="5"/>
        <v>63</v>
      </c>
      <c r="K37" s="220">
        <v>4</v>
      </c>
      <c r="L37" s="221" t="s">
        <v>531</v>
      </c>
      <c r="M37" s="222">
        <f t="shared" si="2"/>
        <v>1</v>
      </c>
      <c r="N37" s="223">
        <f t="shared" si="6"/>
        <v>55</v>
      </c>
      <c r="O37" s="220">
        <v>2</v>
      </c>
      <c r="P37" s="221" t="s">
        <v>532</v>
      </c>
      <c r="Q37" s="222">
        <f t="shared" si="3"/>
        <v>3</v>
      </c>
      <c r="R37" s="224">
        <f t="shared" si="7"/>
        <v>68</v>
      </c>
    </row>
    <row r="38" spans="1:18" ht="24.75" customHeight="1" x14ac:dyDescent="0.2">
      <c r="A38" s="16">
        <v>30</v>
      </c>
      <c r="B38" s="17" t="s">
        <v>190</v>
      </c>
      <c r="C38" s="220">
        <v>4</v>
      </c>
      <c r="D38" s="221" t="s">
        <v>533</v>
      </c>
      <c r="E38" s="222">
        <f t="shared" si="0"/>
        <v>1</v>
      </c>
      <c r="F38" s="223">
        <f t="shared" si="4"/>
        <v>98</v>
      </c>
      <c r="G38" s="220">
        <v>3</v>
      </c>
      <c r="H38" s="221" t="s">
        <v>534</v>
      </c>
      <c r="I38" s="222">
        <f t="shared" si="1"/>
        <v>2</v>
      </c>
      <c r="J38" s="223">
        <f t="shared" si="5"/>
        <v>65</v>
      </c>
      <c r="K38" s="220">
        <v>2</v>
      </c>
      <c r="L38" s="221" t="s">
        <v>535</v>
      </c>
      <c r="M38" s="222">
        <f t="shared" si="2"/>
        <v>3</v>
      </c>
      <c r="N38" s="223">
        <f t="shared" si="6"/>
        <v>58</v>
      </c>
      <c r="O38" s="220">
        <v>1</v>
      </c>
      <c r="P38" s="221" t="s">
        <v>536</v>
      </c>
      <c r="Q38" s="222">
        <f t="shared" si="3"/>
        <v>4</v>
      </c>
      <c r="R38" s="224">
        <f t="shared" si="7"/>
        <v>72</v>
      </c>
    </row>
    <row r="39" spans="1:18" ht="24.75" customHeight="1" x14ac:dyDescent="0.2">
      <c r="A39" s="16">
        <v>31</v>
      </c>
      <c r="B39" s="17" t="s">
        <v>43</v>
      </c>
      <c r="C39" s="220">
        <v>1</v>
      </c>
      <c r="D39" s="221">
        <v>32.08</v>
      </c>
      <c r="E39" s="222">
        <f t="shared" si="0"/>
        <v>4</v>
      </c>
      <c r="F39" s="223">
        <f t="shared" si="4"/>
        <v>102</v>
      </c>
      <c r="G39" s="220">
        <v>4</v>
      </c>
      <c r="H39" s="221">
        <v>35.950000000000003</v>
      </c>
      <c r="I39" s="222">
        <f t="shared" si="1"/>
        <v>1</v>
      </c>
      <c r="J39" s="223">
        <f t="shared" si="5"/>
        <v>66</v>
      </c>
      <c r="K39" s="220">
        <v>3</v>
      </c>
      <c r="L39" s="221">
        <v>35.57</v>
      </c>
      <c r="M39" s="222">
        <f t="shared" si="2"/>
        <v>2</v>
      </c>
      <c r="N39" s="223">
        <f t="shared" si="6"/>
        <v>60</v>
      </c>
      <c r="O39" s="220">
        <v>2</v>
      </c>
      <c r="P39" s="221">
        <v>32.270000000000003</v>
      </c>
      <c r="Q39" s="222">
        <f t="shared" si="3"/>
        <v>3</v>
      </c>
      <c r="R39" s="224">
        <f t="shared" si="7"/>
        <v>75</v>
      </c>
    </row>
    <row r="40" spans="1:18" ht="24.75" customHeight="1" x14ac:dyDescent="0.2">
      <c r="A40" s="16">
        <v>32</v>
      </c>
      <c r="B40" s="17" t="s">
        <v>44</v>
      </c>
      <c r="C40" s="220">
        <v>1</v>
      </c>
      <c r="D40" s="221">
        <v>27.57</v>
      </c>
      <c r="E40" s="222">
        <f t="shared" si="0"/>
        <v>4</v>
      </c>
      <c r="F40" s="223">
        <f t="shared" si="4"/>
        <v>106</v>
      </c>
      <c r="G40" s="220">
        <v>2</v>
      </c>
      <c r="H40" s="221">
        <v>29.32</v>
      </c>
      <c r="I40" s="222">
        <f t="shared" si="1"/>
        <v>3</v>
      </c>
      <c r="J40" s="223">
        <f t="shared" si="5"/>
        <v>69</v>
      </c>
      <c r="K40" s="220">
        <v>3</v>
      </c>
      <c r="L40" s="221">
        <v>30.8</v>
      </c>
      <c r="M40" s="222">
        <f t="shared" si="2"/>
        <v>2</v>
      </c>
      <c r="N40" s="223">
        <f t="shared" si="6"/>
        <v>62</v>
      </c>
      <c r="O40" s="220">
        <v>4</v>
      </c>
      <c r="P40" s="221">
        <v>33.090000000000003</v>
      </c>
      <c r="Q40" s="222">
        <f t="shared" si="3"/>
        <v>1</v>
      </c>
      <c r="R40" s="224">
        <f t="shared" si="7"/>
        <v>76</v>
      </c>
    </row>
    <row r="41" spans="1:18" ht="24.75" customHeight="1" x14ac:dyDescent="0.2">
      <c r="A41" s="16">
        <v>33</v>
      </c>
      <c r="B41" s="17" t="s">
        <v>45</v>
      </c>
      <c r="C41" s="220">
        <v>3</v>
      </c>
      <c r="D41" s="221">
        <v>40.590000000000003</v>
      </c>
      <c r="E41" s="222">
        <f t="shared" si="0"/>
        <v>2</v>
      </c>
      <c r="F41" s="223">
        <f t="shared" si="4"/>
        <v>108</v>
      </c>
      <c r="G41" s="220">
        <v>2</v>
      </c>
      <c r="H41" s="221">
        <v>40.299999999999997</v>
      </c>
      <c r="I41" s="222">
        <f t="shared" si="1"/>
        <v>3</v>
      </c>
      <c r="J41" s="223">
        <f t="shared" si="5"/>
        <v>72</v>
      </c>
      <c r="K41" s="220">
        <v>4</v>
      </c>
      <c r="L41" s="221">
        <v>47.09</v>
      </c>
      <c r="M41" s="222">
        <f t="shared" si="2"/>
        <v>1</v>
      </c>
      <c r="N41" s="223">
        <f t="shared" si="6"/>
        <v>63</v>
      </c>
      <c r="O41" s="220">
        <v>1</v>
      </c>
      <c r="P41" s="221">
        <v>38.15</v>
      </c>
      <c r="Q41" s="222">
        <f t="shared" si="3"/>
        <v>4</v>
      </c>
      <c r="R41" s="224">
        <f t="shared" si="7"/>
        <v>80</v>
      </c>
    </row>
    <row r="42" spans="1:18" ht="24.75" customHeight="1" x14ac:dyDescent="0.2">
      <c r="A42" s="16">
        <v>34</v>
      </c>
      <c r="B42" s="17" t="s">
        <v>46</v>
      </c>
      <c r="C42" s="220">
        <v>2</v>
      </c>
      <c r="D42" s="221">
        <v>38.56</v>
      </c>
      <c r="E42" s="222">
        <f t="shared" si="0"/>
        <v>3</v>
      </c>
      <c r="F42" s="223">
        <f t="shared" si="4"/>
        <v>111</v>
      </c>
      <c r="G42" s="220">
        <v>4</v>
      </c>
      <c r="H42" s="221">
        <v>44.74</v>
      </c>
      <c r="I42" s="222">
        <f t="shared" si="1"/>
        <v>1</v>
      </c>
      <c r="J42" s="223">
        <f t="shared" si="5"/>
        <v>73</v>
      </c>
      <c r="K42" s="220">
        <v>3</v>
      </c>
      <c r="L42" s="221">
        <v>44.15</v>
      </c>
      <c r="M42" s="222">
        <f t="shared" si="2"/>
        <v>2</v>
      </c>
      <c r="N42" s="223">
        <f t="shared" si="6"/>
        <v>65</v>
      </c>
      <c r="O42" s="220">
        <v>1</v>
      </c>
      <c r="P42" s="221">
        <v>37.49</v>
      </c>
      <c r="Q42" s="222">
        <f t="shared" si="3"/>
        <v>4</v>
      </c>
      <c r="R42" s="224">
        <f t="shared" si="7"/>
        <v>84</v>
      </c>
    </row>
    <row r="43" spans="1:18" ht="24.75" customHeight="1" x14ac:dyDescent="0.2">
      <c r="A43" s="16">
        <v>35</v>
      </c>
      <c r="B43" s="17" t="s">
        <v>47</v>
      </c>
      <c r="C43" s="220">
        <v>2</v>
      </c>
      <c r="D43" s="221">
        <v>30.2</v>
      </c>
      <c r="E43" s="222">
        <f t="shared" si="0"/>
        <v>3</v>
      </c>
      <c r="F43" s="223">
        <f t="shared" si="4"/>
        <v>114</v>
      </c>
      <c r="G43" s="220">
        <v>4</v>
      </c>
      <c r="H43" s="221">
        <v>35.03</v>
      </c>
      <c r="I43" s="222">
        <f t="shared" si="1"/>
        <v>1</v>
      </c>
      <c r="J43" s="223">
        <f t="shared" si="5"/>
        <v>74</v>
      </c>
      <c r="K43" s="220">
        <v>3</v>
      </c>
      <c r="L43" s="221">
        <v>31.86</v>
      </c>
      <c r="M43" s="222">
        <f t="shared" si="2"/>
        <v>2</v>
      </c>
      <c r="N43" s="223">
        <f t="shared" si="6"/>
        <v>67</v>
      </c>
      <c r="O43" s="220">
        <v>1</v>
      </c>
      <c r="P43" s="221">
        <v>30.17</v>
      </c>
      <c r="Q43" s="222">
        <f t="shared" si="3"/>
        <v>4</v>
      </c>
      <c r="R43" s="224">
        <f t="shared" si="7"/>
        <v>88</v>
      </c>
    </row>
    <row r="44" spans="1:18" ht="24.75" customHeight="1" x14ac:dyDescent="0.2">
      <c r="A44" s="16">
        <v>36</v>
      </c>
      <c r="B44" s="17" t="s">
        <v>48</v>
      </c>
      <c r="C44" s="220">
        <v>3</v>
      </c>
      <c r="D44" s="221">
        <v>29.38</v>
      </c>
      <c r="E44" s="222">
        <f t="shared" si="0"/>
        <v>2</v>
      </c>
      <c r="F44" s="223">
        <f t="shared" si="4"/>
        <v>116</v>
      </c>
      <c r="G44" s="220">
        <v>4</v>
      </c>
      <c r="H44" s="221">
        <v>29.76</v>
      </c>
      <c r="I44" s="222">
        <f t="shared" si="1"/>
        <v>1</v>
      </c>
      <c r="J44" s="223">
        <f t="shared" si="5"/>
        <v>75</v>
      </c>
      <c r="K44" s="220">
        <v>1</v>
      </c>
      <c r="L44" s="221">
        <v>26.61</v>
      </c>
      <c r="M44" s="222">
        <f t="shared" si="2"/>
        <v>4</v>
      </c>
      <c r="N44" s="223">
        <f t="shared" si="6"/>
        <v>71</v>
      </c>
      <c r="O44" s="220">
        <v>2</v>
      </c>
      <c r="P44" s="221">
        <v>27.2</v>
      </c>
      <c r="Q44" s="222">
        <f t="shared" si="3"/>
        <v>3</v>
      </c>
      <c r="R44" s="224">
        <f t="shared" si="7"/>
        <v>91</v>
      </c>
    </row>
    <row r="45" spans="1:18" ht="24.75" customHeight="1" x14ac:dyDescent="0.2">
      <c r="A45" s="16">
        <v>37</v>
      </c>
      <c r="B45" s="17" t="s">
        <v>49</v>
      </c>
      <c r="C45" s="220">
        <v>1</v>
      </c>
      <c r="D45" s="221">
        <v>24.22</v>
      </c>
      <c r="E45" s="222">
        <f t="shared" si="0"/>
        <v>4</v>
      </c>
      <c r="F45" s="223">
        <f t="shared" si="4"/>
        <v>120</v>
      </c>
      <c r="G45" s="220">
        <v>3</v>
      </c>
      <c r="H45" s="221">
        <v>23.71</v>
      </c>
      <c r="I45" s="222">
        <f t="shared" si="1"/>
        <v>2</v>
      </c>
      <c r="J45" s="223">
        <f t="shared" si="5"/>
        <v>77</v>
      </c>
      <c r="K45" s="220">
        <v>4</v>
      </c>
      <c r="L45" s="221">
        <v>32.619999999999997</v>
      </c>
      <c r="M45" s="222">
        <f t="shared" si="2"/>
        <v>1</v>
      </c>
      <c r="N45" s="223">
        <f t="shared" si="6"/>
        <v>72</v>
      </c>
      <c r="O45" s="220">
        <v>2</v>
      </c>
      <c r="P45" s="221">
        <v>24.78</v>
      </c>
      <c r="Q45" s="222">
        <f t="shared" si="3"/>
        <v>3</v>
      </c>
      <c r="R45" s="224">
        <f t="shared" si="7"/>
        <v>94</v>
      </c>
    </row>
    <row r="46" spans="1:18" ht="24.75" customHeight="1" x14ac:dyDescent="0.2">
      <c r="A46" s="16">
        <v>38</v>
      </c>
      <c r="B46" s="17" t="s">
        <v>50</v>
      </c>
      <c r="C46" s="220">
        <v>1</v>
      </c>
      <c r="D46" s="221">
        <v>21.92</v>
      </c>
      <c r="E46" s="222">
        <f t="shared" si="0"/>
        <v>4</v>
      </c>
      <c r="F46" s="223">
        <f t="shared" si="4"/>
        <v>124</v>
      </c>
      <c r="G46" s="220" t="s">
        <v>25</v>
      </c>
      <c r="H46" s="221" t="s">
        <v>25</v>
      </c>
      <c r="I46" s="222">
        <f t="shared" si="1"/>
        <v>0</v>
      </c>
      <c r="J46" s="223">
        <f t="shared" si="5"/>
        <v>77</v>
      </c>
      <c r="K46" s="220">
        <v>2</v>
      </c>
      <c r="L46" s="221">
        <v>23.03</v>
      </c>
      <c r="M46" s="222">
        <f t="shared" si="2"/>
        <v>3</v>
      </c>
      <c r="N46" s="223">
        <f t="shared" si="6"/>
        <v>75</v>
      </c>
      <c r="O46" s="220">
        <v>3</v>
      </c>
      <c r="P46" s="221">
        <v>26.28</v>
      </c>
      <c r="Q46" s="222">
        <f t="shared" si="3"/>
        <v>2</v>
      </c>
      <c r="R46" s="224">
        <f t="shared" si="7"/>
        <v>96</v>
      </c>
    </row>
    <row r="47" spans="1:18" ht="24.75" customHeight="1" x14ac:dyDescent="0.2">
      <c r="A47" s="16">
        <v>39</v>
      </c>
      <c r="B47" s="17" t="s">
        <v>51</v>
      </c>
      <c r="C47" s="220">
        <v>1</v>
      </c>
      <c r="D47" s="221">
        <v>31.77</v>
      </c>
      <c r="E47" s="222">
        <f t="shared" si="0"/>
        <v>4</v>
      </c>
      <c r="F47" s="223">
        <f t="shared" si="4"/>
        <v>128</v>
      </c>
      <c r="G47" s="220">
        <v>4</v>
      </c>
      <c r="H47" s="221">
        <v>37.159999999999997</v>
      </c>
      <c r="I47" s="222">
        <f t="shared" si="1"/>
        <v>1</v>
      </c>
      <c r="J47" s="223">
        <f t="shared" si="5"/>
        <v>78</v>
      </c>
      <c r="K47" s="220">
        <v>2</v>
      </c>
      <c r="L47" s="221">
        <v>33.979999999999997</v>
      </c>
      <c r="M47" s="222">
        <f t="shared" si="2"/>
        <v>3</v>
      </c>
      <c r="N47" s="223">
        <f t="shared" si="6"/>
        <v>78</v>
      </c>
      <c r="O47" s="220">
        <v>3</v>
      </c>
      <c r="P47" s="221">
        <v>34.159999999999997</v>
      </c>
      <c r="Q47" s="222">
        <f t="shared" si="3"/>
        <v>2</v>
      </c>
      <c r="R47" s="224">
        <f t="shared" si="7"/>
        <v>98</v>
      </c>
    </row>
    <row r="48" spans="1:18" ht="24.75" customHeight="1" x14ac:dyDescent="0.2">
      <c r="A48" s="16">
        <v>40</v>
      </c>
      <c r="B48" s="17" t="s">
        <v>52</v>
      </c>
      <c r="C48" s="220">
        <v>2</v>
      </c>
      <c r="D48" s="221">
        <v>36.51</v>
      </c>
      <c r="E48" s="222">
        <f t="shared" si="0"/>
        <v>3</v>
      </c>
      <c r="F48" s="223">
        <f t="shared" si="4"/>
        <v>131</v>
      </c>
      <c r="G48" s="220">
        <v>3</v>
      </c>
      <c r="H48" s="221">
        <v>36.76</v>
      </c>
      <c r="I48" s="222">
        <f t="shared" si="1"/>
        <v>2</v>
      </c>
      <c r="J48" s="223">
        <f t="shared" si="5"/>
        <v>80</v>
      </c>
      <c r="K48" s="220">
        <v>4</v>
      </c>
      <c r="L48" s="221">
        <v>39.18</v>
      </c>
      <c r="M48" s="222">
        <f t="shared" si="2"/>
        <v>1</v>
      </c>
      <c r="N48" s="223">
        <f t="shared" si="6"/>
        <v>79</v>
      </c>
      <c r="O48" s="220">
        <v>1</v>
      </c>
      <c r="P48" s="221">
        <v>35.909999999999997</v>
      </c>
      <c r="Q48" s="222">
        <f t="shared" si="3"/>
        <v>4</v>
      </c>
      <c r="R48" s="224">
        <f t="shared" si="7"/>
        <v>102</v>
      </c>
    </row>
    <row r="49" spans="1:18" ht="24.75" customHeight="1" x14ac:dyDescent="0.2">
      <c r="A49" s="16">
        <v>41</v>
      </c>
      <c r="B49" s="17" t="s">
        <v>194</v>
      </c>
      <c r="C49" s="220">
        <v>1</v>
      </c>
      <c r="D49" s="221" t="s">
        <v>537</v>
      </c>
      <c r="E49" s="222">
        <f t="shared" si="0"/>
        <v>4</v>
      </c>
      <c r="F49" s="223">
        <f t="shared" si="4"/>
        <v>135</v>
      </c>
      <c r="G49" s="220">
        <v>4</v>
      </c>
      <c r="H49" s="221" t="s">
        <v>538</v>
      </c>
      <c r="I49" s="222">
        <f t="shared" si="1"/>
        <v>1</v>
      </c>
      <c r="J49" s="223">
        <f t="shared" si="5"/>
        <v>81</v>
      </c>
      <c r="K49" s="220">
        <v>3</v>
      </c>
      <c r="L49" s="221" t="s">
        <v>539</v>
      </c>
      <c r="M49" s="222">
        <f t="shared" si="2"/>
        <v>2</v>
      </c>
      <c r="N49" s="223">
        <f t="shared" si="6"/>
        <v>81</v>
      </c>
      <c r="O49" s="220">
        <v>2</v>
      </c>
      <c r="P49" s="221" t="s">
        <v>540</v>
      </c>
      <c r="Q49" s="222">
        <f t="shared" si="3"/>
        <v>3</v>
      </c>
      <c r="R49" s="224">
        <f t="shared" si="7"/>
        <v>105</v>
      </c>
    </row>
    <row r="50" spans="1:18" ht="24.75" customHeight="1" x14ac:dyDescent="0.2">
      <c r="A50" s="16">
        <v>42</v>
      </c>
      <c r="B50" s="17" t="s">
        <v>193</v>
      </c>
      <c r="C50" s="220">
        <v>1</v>
      </c>
      <c r="D50" s="221" t="s">
        <v>541</v>
      </c>
      <c r="E50" s="222">
        <f t="shared" si="0"/>
        <v>4</v>
      </c>
      <c r="F50" s="223">
        <f t="shared" si="4"/>
        <v>139</v>
      </c>
      <c r="G50" s="220">
        <v>2</v>
      </c>
      <c r="H50" s="221" t="s">
        <v>542</v>
      </c>
      <c r="I50" s="222">
        <f t="shared" si="1"/>
        <v>3</v>
      </c>
      <c r="J50" s="223">
        <f t="shared" si="5"/>
        <v>84</v>
      </c>
      <c r="K50" s="220">
        <v>3</v>
      </c>
      <c r="L50" s="221" t="s">
        <v>543</v>
      </c>
      <c r="M50" s="222">
        <f t="shared" si="2"/>
        <v>2</v>
      </c>
      <c r="N50" s="223">
        <f t="shared" si="6"/>
        <v>83</v>
      </c>
      <c r="O50" s="220">
        <v>4</v>
      </c>
      <c r="P50" s="221" t="s">
        <v>544</v>
      </c>
      <c r="Q50" s="222">
        <f t="shared" si="3"/>
        <v>1</v>
      </c>
      <c r="R50" s="224">
        <f t="shared" si="7"/>
        <v>106</v>
      </c>
    </row>
    <row r="51" spans="1:18" ht="24.75" customHeight="1" x14ac:dyDescent="0.2">
      <c r="A51" s="16">
        <v>43</v>
      </c>
      <c r="B51" s="17" t="s">
        <v>192</v>
      </c>
      <c r="C51" s="220">
        <v>1</v>
      </c>
      <c r="D51" s="221" t="s">
        <v>545</v>
      </c>
      <c r="E51" s="222">
        <f t="shared" si="0"/>
        <v>4</v>
      </c>
      <c r="F51" s="223">
        <f t="shared" si="4"/>
        <v>143</v>
      </c>
      <c r="G51" s="220">
        <v>2</v>
      </c>
      <c r="H51" s="221" t="s">
        <v>546</v>
      </c>
      <c r="I51" s="222">
        <f t="shared" si="1"/>
        <v>3</v>
      </c>
      <c r="J51" s="223">
        <f t="shared" si="5"/>
        <v>87</v>
      </c>
      <c r="K51" s="220">
        <v>3</v>
      </c>
      <c r="L51" s="221" t="s">
        <v>547</v>
      </c>
      <c r="M51" s="222">
        <f t="shared" si="2"/>
        <v>2</v>
      </c>
      <c r="N51" s="223">
        <f t="shared" si="6"/>
        <v>85</v>
      </c>
      <c r="O51" s="220" t="s">
        <v>25</v>
      </c>
      <c r="P51" s="221" t="s">
        <v>25</v>
      </c>
      <c r="Q51" s="222">
        <f t="shared" si="3"/>
        <v>0</v>
      </c>
      <c r="R51" s="224">
        <f t="shared" si="7"/>
        <v>106</v>
      </c>
    </row>
    <row r="52" spans="1:18" ht="24.75" customHeight="1" x14ac:dyDescent="0.2">
      <c r="A52" s="16">
        <v>44</v>
      </c>
      <c r="B52" s="17" t="s">
        <v>191</v>
      </c>
      <c r="C52" s="220">
        <v>2</v>
      </c>
      <c r="D52" s="221" t="s">
        <v>548</v>
      </c>
      <c r="E52" s="222">
        <f t="shared" si="0"/>
        <v>3</v>
      </c>
      <c r="F52" s="223">
        <f t="shared" si="4"/>
        <v>146</v>
      </c>
      <c r="G52" s="220" t="s">
        <v>25</v>
      </c>
      <c r="H52" s="221" t="s">
        <v>25</v>
      </c>
      <c r="I52" s="222">
        <f t="shared" si="1"/>
        <v>0</v>
      </c>
      <c r="J52" s="223">
        <f t="shared" si="5"/>
        <v>87</v>
      </c>
      <c r="K52" s="220">
        <v>3</v>
      </c>
      <c r="L52" s="221" t="s">
        <v>549</v>
      </c>
      <c r="M52" s="222">
        <f t="shared" si="2"/>
        <v>2</v>
      </c>
      <c r="N52" s="223">
        <f t="shared" si="6"/>
        <v>87</v>
      </c>
      <c r="O52" s="220">
        <v>1</v>
      </c>
      <c r="P52" s="221" t="s">
        <v>550</v>
      </c>
      <c r="Q52" s="222">
        <f t="shared" si="3"/>
        <v>4</v>
      </c>
      <c r="R52" s="224">
        <f t="shared" si="7"/>
        <v>110</v>
      </c>
    </row>
    <row r="53" spans="1:18" ht="24.75" customHeight="1" x14ac:dyDescent="0.2">
      <c r="A53" s="16">
        <v>45</v>
      </c>
      <c r="B53" s="17" t="s">
        <v>53</v>
      </c>
      <c r="C53" s="220">
        <v>1</v>
      </c>
      <c r="D53" s="221">
        <v>30.33</v>
      </c>
      <c r="E53" s="222">
        <f t="shared" si="0"/>
        <v>4</v>
      </c>
      <c r="F53" s="223">
        <f t="shared" si="4"/>
        <v>150</v>
      </c>
      <c r="G53" s="220">
        <v>3</v>
      </c>
      <c r="H53" s="221">
        <v>32.229999999999997</v>
      </c>
      <c r="I53" s="222">
        <f t="shared" si="1"/>
        <v>2</v>
      </c>
      <c r="J53" s="223">
        <f t="shared" si="5"/>
        <v>89</v>
      </c>
      <c r="K53" s="220">
        <v>4</v>
      </c>
      <c r="L53" s="221">
        <v>32.44</v>
      </c>
      <c r="M53" s="222">
        <f t="shared" si="2"/>
        <v>1</v>
      </c>
      <c r="N53" s="223">
        <f t="shared" si="6"/>
        <v>88</v>
      </c>
      <c r="O53" s="220">
        <v>2</v>
      </c>
      <c r="P53" s="221">
        <v>31.35</v>
      </c>
      <c r="Q53" s="222">
        <f t="shared" si="3"/>
        <v>3</v>
      </c>
      <c r="R53" s="224">
        <f t="shared" si="7"/>
        <v>113</v>
      </c>
    </row>
    <row r="54" spans="1:18" ht="24.75" customHeight="1" x14ac:dyDescent="0.2">
      <c r="A54" s="16">
        <v>46</v>
      </c>
      <c r="B54" s="17" t="s">
        <v>54</v>
      </c>
      <c r="C54" s="220">
        <v>3</v>
      </c>
      <c r="D54" s="221">
        <v>34.39</v>
      </c>
      <c r="E54" s="222">
        <f t="shared" si="0"/>
        <v>2</v>
      </c>
      <c r="F54" s="223">
        <f t="shared" si="4"/>
        <v>152</v>
      </c>
      <c r="G54" s="220">
        <v>4</v>
      </c>
      <c r="H54" s="221">
        <v>36.04</v>
      </c>
      <c r="I54" s="222">
        <f t="shared" si="1"/>
        <v>1</v>
      </c>
      <c r="J54" s="223">
        <f t="shared" si="5"/>
        <v>90</v>
      </c>
      <c r="K54" s="220">
        <v>1</v>
      </c>
      <c r="L54" s="221">
        <v>32.270000000000003</v>
      </c>
      <c r="M54" s="222">
        <f t="shared" si="2"/>
        <v>4</v>
      </c>
      <c r="N54" s="223">
        <f t="shared" si="6"/>
        <v>92</v>
      </c>
      <c r="O54" s="220">
        <v>2</v>
      </c>
      <c r="P54" s="221">
        <v>32.76</v>
      </c>
      <c r="Q54" s="222">
        <f t="shared" si="3"/>
        <v>3</v>
      </c>
      <c r="R54" s="224">
        <f t="shared" si="7"/>
        <v>116</v>
      </c>
    </row>
    <row r="55" spans="1:18" ht="24.75" customHeight="1" x14ac:dyDescent="0.2">
      <c r="A55" s="16">
        <v>47</v>
      </c>
      <c r="B55" s="17" t="s">
        <v>55</v>
      </c>
      <c r="C55" s="220">
        <v>2</v>
      </c>
      <c r="D55" s="221">
        <v>20</v>
      </c>
      <c r="E55" s="222">
        <f t="shared" si="0"/>
        <v>3</v>
      </c>
      <c r="F55" s="223">
        <f t="shared" si="4"/>
        <v>155</v>
      </c>
      <c r="G55" s="220">
        <v>1</v>
      </c>
      <c r="H55" s="221">
        <v>18.78</v>
      </c>
      <c r="I55" s="222">
        <f t="shared" si="1"/>
        <v>4</v>
      </c>
      <c r="J55" s="223">
        <f t="shared" si="5"/>
        <v>94</v>
      </c>
      <c r="K55" s="220">
        <v>3</v>
      </c>
      <c r="L55" s="221">
        <v>24.59</v>
      </c>
      <c r="M55" s="222">
        <f t="shared" si="2"/>
        <v>2</v>
      </c>
      <c r="N55" s="223">
        <f t="shared" si="6"/>
        <v>94</v>
      </c>
      <c r="O55" s="220">
        <v>4</v>
      </c>
      <c r="P55" s="221">
        <v>25.84</v>
      </c>
      <c r="Q55" s="222">
        <f t="shared" si="3"/>
        <v>1</v>
      </c>
      <c r="R55" s="224">
        <f t="shared" si="7"/>
        <v>117</v>
      </c>
    </row>
    <row r="56" spans="1:18" ht="24.75" customHeight="1" x14ac:dyDescent="0.2">
      <c r="A56" s="16">
        <v>48</v>
      </c>
      <c r="B56" s="17" t="s">
        <v>56</v>
      </c>
      <c r="C56" s="220">
        <v>2</v>
      </c>
      <c r="D56" s="221">
        <v>19.899999999999999</v>
      </c>
      <c r="E56" s="222">
        <f t="shared" si="0"/>
        <v>3</v>
      </c>
      <c r="F56" s="223">
        <f t="shared" si="4"/>
        <v>158</v>
      </c>
      <c r="G56" s="220" t="s">
        <v>25</v>
      </c>
      <c r="H56" s="221" t="s">
        <v>25</v>
      </c>
      <c r="I56" s="222">
        <f t="shared" si="1"/>
        <v>0</v>
      </c>
      <c r="J56" s="223">
        <f t="shared" si="5"/>
        <v>94</v>
      </c>
      <c r="K56" s="220">
        <v>1</v>
      </c>
      <c r="L56" s="221">
        <v>19.62</v>
      </c>
      <c r="M56" s="222">
        <f t="shared" si="2"/>
        <v>4</v>
      </c>
      <c r="N56" s="223">
        <f t="shared" si="6"/>
        <v>98</v>
      </c>
      <c r="O56" s="220">
        <v>3</v>
      </c>
      <c r="P56" s="221">
        <v>28.85</v>
      </c>
      <c r="Q56" s="222">
        <f t="shared" si="3"/>
        <v>2</v>
      </c>
      <c r="R56" s="224">
        <f t="shared" si="7"/>
        <v>119</v>
      </c>
    </row>
    <row r="57" spans="1:18" ht="24.75" customHeight="1" x14ac:dyDescent="0.2">
      <c r="A57" s="16">
        <v>49</v>
      </c>
      <c r="B57" s="17" t="s">
        <v>57</v>
      </c>
      <c r="C57" s="220">
        <v>3</v>
      </c>
      <c r="D57" s="221">
        <v>38.549999999999997</v>
      </c>
      <c r="E57" s="222">
        <f t="shared" si="0"/>
        <v>2</v>
      </c>
      <c r="F57" s="223">
        <f t="shared" si="4"/>
        <v>160</v>
      </c>
      <c r="G57" s="220">
        <v>4</v>
      </c>
      <c r="H57" s="221">
        <v>40.71</v>
      </c>
      <c r="I57" s="222">
        <f t="shared" si="1"/>
        <v>1</v>
      </c>
      <c r="J57" s="223">
        <f t="shared" si="5"/>
        <v>95</v>
      </c>
      <c r="K57" s="220">
        <v>2</v>
      </c>
      <c r="L57" s="221">
        <v>37.99</v>
      </c>
      <c r="M57" s="222">
        <f t="shared" si="2"/>
        <v>3</v>
      </c>
      <c r="N57" s="223">
        <f t="shared" si="6"/>
        <v>101</v>
      </c>
      <c r="O57" s="220">
        <v>1</v>
      </c>
      <c r="P57" s="221">
        <v>33.380000000000003</v>
      </c>
      <c r="Q57" s="222">
        <f t="shared" si="3"/>
        <v>4</v>
      </c>
      <c r="R57" s="224">
        <f t="shared" si="7"/>
        <v>123</v>
      </c>
    </row>
    <row r="58" spans="1:18" ht="24.75" customHeight="1" x14ac:dyDescent="0.2">
      <c r="A58" s="16">
        <v>50</v>
      </c>
      <c r="B58" s="17" t="s">
        <v>58</v>
      </c>
      <c r="C58" s="220">
        <v>3</v>
      </c>
      <c r="D58" s="221">
        <v>34.33</v>
      </c>
      <c r="E58" s="222">
        <f t="shared" si="0"/>
        <v>2</v>
      </c>
      <c r="F58" s="223">
        <f t="shared" si="4"/>
        <v>162</v>
      </c>
      <c r="G58" s="220">
        <v>2</v>
      </c>
      <c r="H58" s="221">
        <v>32.51</v>
      </c>
      <c r="I58" s="222">
        <f t="shared" si="1"/>
        <v>3</v>
      </c>
      <c r="J58" s="223">
        <f t="shared" si="5"/>
        <v>98</v>
      </c>
      <c r="K58" s="220">
        <v>4</v>
      </c>
      <c r="L58" s="221">
        <v>35.72</v>
      </c>
      <c r="M58" s="222">
        <f t="shared" si="2"/>
        <v>1</v>
      </c>
      <c r="N58" s="223">
        <f t="shared" si="6"/>
        <v>102</v>
      </c>
      <c r="O58" s="220">
        <v>1</v>
      </c>
      <c r="P58" s="221">
        <v>31.79</v>
      </c>
      <c r="Q58" s="222">
        <f t="shared" si="3"/>
        <v>4</v>
      </c>
      <c r="R58" s="224">
        <f t="shared" si="7"/>
        <v>127</v>
      </c>
    </row>
    <row r="59" spans="1:18" ht="24.75" customHeight="1" x14ac:dyDescent="0.2">
      <c r="A59" s="16">
        <v>51</v>
      </c>
      <c r="B59" s="17" t="s">
        <v>59</v>
      </c>
      <c r="C59" s="220">
        <v>1</v>
      </c>
      <c r="D59" s="221">
        <v>46.83</v>
      </c>
      <c r="E59" s="222">
        <f t="shared" si="0"/>
        <v>4</v>
      </c>
      <c r="F59" s="223">
        <f t="shared" si="4"/>
        <v>166</v>
      </c>
      <c r="G59" s="220">
        <v>2</v>
      </c>
      <c r="H59" s="221">
        <v>47.51</v>
      </c>
      <c r="I59" s="222">
        <f t="shared" si="1"/>
        <v>3</v>
      </c>
      <c r="J59" s="223">
        <f t="shared" si="5"/>
        <v>101</v>
      </c>
      <c r="K59" s="220">
        <v>4</v>
      </c>
      <c r="L59" s="221">
        <v>49.55</v>
      </c>
      <c r="M59" s="222">
        <f t="shared" si="2"/>
        <v>1</v>
      </c>
      <c r="N59" s="223">
        <f t="shared" si="6"/>
        <v>103</v>
      </c>
      <c r="O59" s="220">
        <v>3</v>
      </c>
      <c r="P59" s="221">
        <v>47.76</v>
      </c>
      <c r="Q59" s="222">
        <f t="shared" si="3"/>
        <v>2</v>
      </c>
      <c r="R59" s="224">
        <f t="shared" si="7"/>
        <v>129</v>
      </c>
    </row>
    <row r="60" spans="1:18" ht="24.75" customHeight="1" x14ac:dyDescent="0.2">
      <c r="A60" s="16">
        <v>52</v>
      </c>
      <c r="B60" s="17" t="s">
        <v>60</v>
      </c>
      <c r="C60" s="220">
        <v>2</v>
      </c>
      <c r="D60" s="221">
        <v>42.88</v>
      </c>
      <c r="E60" s="222">
        <f t="shared" si="0"/>
        <v>3</v>
      </c>
      <c r="F60" s="223">
        <f t="shared" si="4"/>
        <v>169</v>
      </c>
      <c r="G60" s="220">
        <v>4</v>
      </c>
      <c r="H60" s="221">
        <v>55.16</v>
      </c>
      <c r="I60" s="222">
        <f t="shared" si="1"/>
        <v>1</v>
      </c>
      <c r="J60" s="223">
        <f t="shared" si="5"/>
        <v>102</v>
      </c>
      <c r="K60" s="220">
        <v>3</v>
      </c>
      <c r="L60" s="221">
        <v>49.79</v>
      </c>
      <c r="M60" s="222">
        <f t="shared" si="2"/>
        <v>2</v>
      </c>
      <c r="N60" s="223">
        <f t="shared" si="6"/>
        <v>105</v>
      </c>
      <c r="O60" s="220">
        <v>1</v>
      </c>
      <c r="P60" s="221">
        <v>42.14</v>
      </c>
      <c r="Q60" s="222">
        <f t="shared" si="3"/>
        <v>4</v>
      </c>
      <c r="R60" s="224">
        <f t="shared" si="7"/>
        <v>133</v>
      </c>
    </row>
    <row r="61" spans="1:18" ht="24.75" customHeight="1" x14ac:dyDescent="0.2">
      <c r="A61" s="16">
        <v>53</v>
      </c>
      <c r="B61" s="17" t="s">
        <v>61</v>
      </c>
      <c r="C61" s="220">
        <v>1</v>
      </c>
      <c r="D61" s="221">
        <v>29.24</v>
      </c>
      <c r="E61" s="222">
        <f t="shared" si="0"/>
        <v>4</v>
      </c>
      <c r="F61" s="223">
        <f t="shared" si="4"/>
        <v>173</v>
      </c>
      <c r="G61" s="220">
        <v>2</v>
      </c>
      <c r="H61" s="221">
        <v>29.99</v>
      </c>
      <c r="I61" s="222">
        <f t="shared" si="1"/>
        <v>3</v>
      </c>
      <c r="J61" s="223">
        <f t="shared" si="5"/>
        <v>105</v>
      </c>
      <c r="K61" s="220">
        <v>4</v>
      </c>
      <c r="L61" s="221">
        <v>31.26</v>
      </c>
      <c r="M61" s="222">
        <f t="shared" si="2"/>
        <v>1</v>
      </c>
      <c r="N61" s="223">
        <f t="shared" si="6"/>
        <v>106</v>
      </c>
      <c r="O61" s="220">
        <v>3</v>
      </c>
      <c r="P61" s="221">
        <v>30.31</v>
      </c>
      <c r="Q61" s="222">
        <f t="shared" si="3"/>
        <v>2</v>
      </c>
      <c r="R61" s="224">
        <f t="shared" si="7"/>
        <v>135</v>
      </c>
    </row>
    <row r="62" spans="1:18" ht="24.75" customHeight="1" x14ac:dyDescent="0.2">
      <c r="A62" s="16">
        <v>54</v>
      </c>
      <c r="B62" s="17" t="s">
        <v>62</v>
      </c>
      <c r="C62" s="220">
        <v>1</v>
      </c>
      <c r="D62" s="221">
        <v>25.82</v>
      </c>
      <c r="E62" s="222">
        <f t="shared" si="0"/>
        <v>4</v>
      </c>
      <c r="F62" s="223">
        <f t="shared" si="4"/>
        <v>177</v>
      </c>
      <c r="G62" s="220">
        <v>2</v>
      </c>
      <c r="H62" s="221">
        <v>27.04</v>
      </c>
      <c r="I62" s="222">
        <f t="shared" si="1"/>
        <v>3</v>
      </c>
      <c r="J62" s="223">
        <f t="shared" si="5"/>
        <v>108</v>
      </c>
      <c r="K62" s="220">
        <v>3</v>
      </c>
      <c r="L62" s="221">
        <v>27.49</v>
      </c>
      <c r="M62" s="222">
        <f t="shared" si="2"/>
        <v>2</v>
      </c>
      <c r="N62" s="223">
        <f t="shared" si="6"/>
        <v>108</v>
      </c>
      <c r="O62" s="220">
        <v>4</v>
      </c>
      <c r="P62" s="221">
        <v>29.69</v>
      </c>
      <c r="Q62" s="222">
        <f t="shared" si="3"/>
        <v>1</v>
      </c>
      <c r="R62" s="224">
        <f t="shared" si="7"/>
        <v>136</v>
      </c>
    </row>
    <row r="63" spans="1:18" ht="24.75" customHeight="1" x14ac:dyDescent="0.2">
      <c r="A63" s="16">
        <v>55</v>
      </c>
      <c r="B63" s="17" t="s">
        <v>195</v>
      </c>
      <c r="C63" s="220">
        <v>1</v>
      </c>
      <c r="D63" s="221" t="s">
        <v>551</v>
      </c>
      <c r="E63" s="222">
        <f t="shared" si="0"/>
        <v>4</v>
      </c>
      <c r="F63" s="223">
        <f t="shared" si="4"/>
        <v>181</v>
      </c>
      <c r="G63" s="220">
        <v>3</v>
      </c>
      <c r="H63" s="221" t="s">
        <v>552</v>
      </c>
      <c r="I63" s="222">
        <f t="shared" si="1"/>
        <v>2</v>
      </c>
      <c r="J63" s="223">
        <f t="shared" si="5"/>
        <v>110</v>
      </c>
      <c r="K63" s="220" t="s">
        <v>25</v>
      </c>
      <c r="L63" s="221" t="s">
        <v>25</v>
      </c>
      <c r="M63" s="222">
        <f t="shared" si="2"/>
        <v>0</v>
      </c>
      <c r="N63" s="223">
        <f t="shared" si="6"/>
        <v>108</v>
      </c>
      <c r="O63" s="220">
        <v>2</v>
      </c>
      <c r="P63" s="221" t="s">
        <v>553</v>
      </c>
      <c r="Q63" s="222">
        <f t="shared" si="3"/>
        <v>3</v>
      </c>
      <c r="R63" s="224">
        <f t="shared" si="7"/>
        <v>139</v>
      </c>
    </row>
    <row r="64" spans="1:18" ht="24.75" customHeight="1" x14ac:dyDescent="0.2">
      <c r="A64" s="16">
        <v>56</v>
      </c>
      <c r="B64" s="17" t="s">
        <v>196</v>
      </c>
      <c r="C64" s="220">
        <v>1</v>
      </c>
      <c r="D64" s="221" t="s">
        <v>554</v>
      </c>
      <c r="E64" s="222">
        <f t="shared" si="0"/>
        <v>4</v>
      </c>
      <c r="F64" s="223">
        <f t="shared" si="4"/>
        <v>185</v>
      </c>
      <c r="G64" s="220">
        <v>2</v>
      </c>
      <c r="H64" s="221" t="s">
        <v>555</v>
      </c>
      <c r="I64" s="222">
        <f t="shared" si="1"/>
        <v>3</v>
      </c>
      <c r="J64" s="223">
        <f t="shared" si="5"/>
        <v>113</v>
      </c>
      <c r="K64" s="220">
        <v>3</v>
      </c>
      <c r="L64" s="221" t="s">
        <v>556</v>
      </c>
      <c r="M64" s="222">
        <f t="shared" si="2"/>
        <v>2</v>
      </c>
      <c r="N64" s="223">
        <f t="shared" si="6"/>
        <v>110</v>
      </c>
      <c r="O64" s="220">
        <v>4</v>
      </c>
      <c r="P64" s="221" t="s">
        <v>557</v>
      </c>
      <c r="Q64" s="222">
        <f t="shared" si="3"/>
        <v>1</v>
      </c>
      <c r="R64" s="224">
        <f t="shared" si="7"/>
        <v>140</v>
      </c>
    </row>
    <row r="65" spans="1:19" ht="24.75" customHeight="1" x14ac:dyDescent="0.2">
      <c r="A65" s="16">
        <v>57</v>
      </c>
      <c r="B65" s="17" t="s">
        <v>63</v>
      </c>
      <c r="C65" s="220" t="s">
        <v>25</v>
      </c>
      <c r="D65" s="221" t="s">
        <v>25</v>
      </c>
      <c r="E65" s="222">
        <f t="shared" si="0"/>
        <v>0</v>
      </c>
      <c r="F65" s="223">
        <f t="shared" si="4"/>
        <v>185</v>
      </c>
      <c r="G65" s="220">
        <v>1</v>
      </c>
      <c r="H65" s="221" t="s">
        <v>558</v>
      </c>
      <c r="I65" s="222">
        <f t="shared" si="1"/>
        <v>4</v>
      </c>
      <c r="J65" s="223">
        <f t="shared" si="5"/>
        <v>117</v>
      </c>
      <c r="K65" s="220">
        <v>3</v>
      </c>
      <c r="L65" s="221" t="s">
        <v>559</v>
      </c>
      <c r="M65" s="222">
        <f t="shared" si="2"/>
        <v>2</v>
      </c>
      <c r="N65" s="223">
        <f t="shared" si="6"/>
        <v>112</v>
      </c>
      <c r="O65" s="220">
        <v>2</v>
      </c>
      <c r="P65" s="221" t="s">
        <v>560</v>
      </c>
      <c r="Q65" s="222">
        <f t="shared" si="3"/>
        <v>3</v>
      </c>
      <c r="R65" s="224">
        <f t="shared" si="7"/>
        <v>143</v>
      </c>
    </row>
    <row r="66" spans="1:19" ht="24.75" customHeight="1" x14ac:dyDescent="0.2">
      <c r="A66" s="16">
        <v>58</v>
      </c>
      <c r="B66" s="17" t="s">
        <v>64</v>
      </c>
      <c r="C66" s="220">
        <v>1</v>
      </c>
      <c r="D66" s="221" t="s">
        <v>578</v>
      </c>
      <c r="E66" s="222">
        <f t="shared" si="0"/>
        <v>4</v>
      </c>
      <c r="F66" s="223">
        <f t="shared" si="4"/>
        <v>189</v>
      </c>
      <c r="G66" s="220" t="s">
        <v>23</v>
      </c>
      <c r="H66" s="221" t="s">
        <v>23</v>
      </c>
      <c r="I66" s="222">
        <f t="shared" si="1"/>
        <v>0</v>
      </c>
      <c r="J66" s="223">
        <f t="shared" si="5"/>
        <v>117</v>
      </c>
      <c r="K66" s="220">
        <v>2</v>
      </c>
      <c r="L66" s="221" t="s">
        <v>562</v>
      </c>
      <c r="M66" s="222">
        <f t="shared" si="2"/>
        <v>3</v>
      </c>
      <c r="N66" s="223">
        <f t="shared" si="6"/>
        <v>115</v>
      </c>
      <c r="O66" s="220">
        <v>3</v>
      </c>
      <c r="P66" s="221" t="s">
        <v>563</v>
      </c>
      <c r="Q66" s="222">
        <f t="shared" si="3"/>
        <v>2</v>
      </c>
      <c r="R66" s="224">
        <f t="shared" si="7"/>
        <v>145</v>
      </c>
    </row>
    <row r="67" spans="1:19" ht="24.75" customHeight="1" x14ac:dyDescent="0.2">
      <c r="A67" s="16">
        <v>59</v>
      </c>
      <c r="B67" s="17" t="s">
        <v>198</v>
      </c>
      <c r="C67" s="220">
        <v>1</v>
      </c>
      <c r="D67" s="221" t="s">
        <v>564</v>
      </c>
      <c r="E67" s="222">
        <f t="shared" si="0"/>
        <v>4</v>
      </c>
      <c r="F67" s="223">
        <f t="shared" si="4"/>
        <v>193</v>
      </c>
      <c r="G67" s="220">
        <v>4</v>
      </c>
      <c r="H67" s="221" t="s">
        <v>565</v>
      </c>
      <c r="I67" s="222">
        <f t="shared" si="1"/>
        <v>1</v>
      </c>
      <c r="J67" s="223">
        <f t="shared" si="5"/>
        <v>118</v>
      </c>
      <c r="K67" s="220">
        <v>3</v>
      </c>
      <c r="L67" s="221" t="s">
        <v>566</v>
      </c>
      <c r="M67" s="222">
        <f t="shared" si="2"/>
        <v>2</v>
      </c>
      <c r="N67" s="223">
        <f t="shared" si="6"/>
        <v>117</v>
      </c>
      <c r="O67" s="220">
        <v>2</v>
      </c>
      <c r="P67" s="221" t="s">
        <v>567</v>
      </c>
      <c r="Q67" s="222">
        <f t="shared" si="3"/>
        <v>3</v>
      </c>
      <c r="R67" s="224">
        <f t="shared" si="7"/>
        <v>148</v>
      </c>
    </row>
    <row r="68" spans="1:19" ht="24.75" customHeight="1" x14ac:dyDescent="0.2">
      <c r="A68" s="16">
        <v>60</v>
      </c>
      <c r="B68" s="17" t="s">
        <v>197</v>
      </c>
      <c r="C68" s="220">
        <v>4</v>
      </c>
      <c r="D68" s="221" t="s">
        <v>579</v>
      </c>
      <c r="E68" s="222">
        <f t="shared" si="0"/>
        <v>1</v>
      </c>
      <c r="F68" s="223">
        <f t="shared" si="4"/>
        <v>194</v>
      </c>
      <c r="G68" s="220">
        <v>3</v>
      </c>
      <c r="H68" s="221" t="s">
        <v>580</v>
      </c>
      <c r="I68" s="222">
        <f t="shared" si="1"/>
        <v>2</v>
      </c>
      <c r="J68" s="223">
        <f t="shared" si="5"/>
        <v>120</v>
      </c>
      <c r="K68" s="220">
        <v>2</v>
      </c>
      <c r="L68" s="221" t="s">
        <v>581</v>
      </c>
      <c r="M68" s="222">
        <f t="shared" si="2"/>
        <v>3</v>
      </c>
      <c r="N68" s="223">
        <f t="shared" si="6"/>
        <v>120</v>
      </c>
      <c r="O68" s="220">
        <v>1</v>
      </c>
      <c r="P68" s="221" t="s">
        <v>582</v>
      </c>
      <c r="Q68" s="222">
        <f t="shared" si="3"/>
        <v>4</v>
      </c>
      <c r="R68" s="224">
        <f t="shared" si="7"/>
        <v>152</v>
      </c>
    </row>
    <row r="69" spans="1:19" ht="24.75" customHeight="1" x14ac:dyDescent="0.2">
      <c r="A69" s="231">
        <v>61</v>
      </c>
      <c r="B69" s="232" t="s">
        <v>199</v>
      </c>
      <c r="C69" s="220">
        <v>1</v>
      </c>
      <c r="D69" s="221" t="s">
        <v>572</v>
      </c>
      <c r="E69" s="222">
        <f t="shared" si="0"/>
        <v>4</v>
      </c>
      <c r="F69" s="223">
        <f t="shared" si="4"/>
        <v>198</v>
      </c>
      <c r="G69" s="220">
        <v>4</v>
      </c>
      <c r="H69" s="221" t="s">
        <v>573</v>
      </c>
      <c r="I69" s="222">
        <f t="shared" si="1"/>
        <v>1</v>
      </c>
      <c r="J69" s="223">
        <f t="shared" si="5"/>
        <v>121</v>
      </c>
      <c r="K69" s="220">
        <v>2</v>
      </c>
      <c r="L69" s="221" t="s">
        <v>574</v>
      </c>
      <c r="M69" s="222">
        <f t="shared" si="2"/>
        <v>3</v>
      </c>
      <c r="N69" s="223">
        <f t="shared" si="6"/>
        <v>123</v>
      </c>
      <c r="O69" s="220">
        <v>3</v>
      </c>
      <c r="P69" s="221" t="s">
        <v>575</v>
      </c>
      <c r="Q69" s="222">
        <f t="shared" si="3"/>
        <v>2</v>
      </c>
      <c r="R69" s="224">
        <f t="shared" si="7"/>
        <v>154</v>
      </c>
    </row>
    <row r="70" spans="1:19" ht="12.75" customHeight="1" x14ac:dyDescent="0.2">
      <c r="A70" s="233"/>
      <c r="B70" s="234"/>
      <c r="C70" s="235"/>
      <c r="D70" s="236"/>
      <c r="E70" s="233"/>
      <c r="F70" s="235"/>
      <c r="G70" s="235"/>
      <c r="H70" s="233"/>
      <c r="I70" s="233"/>
      <c r="J70" s="235"/>
      <c r="K70" s="235"/>
      <c r="L70" s="236"/>
      <c r="M70" s="233"/>
      <c r="N70" s="235"/>
      <c r="O70" s="235"/>
      <c r="P70" s="236"/>
      <c r="Q70" s="233"/>
      <c r="R70" s="235"/>
    </row>
    <row r="71" spans="1:19" ht="20.100000000000001" customHeight="1" x14ac:dyDescent="0.2">
      <c r="A71" s="467" t="s">
        <v>65</v>
      </c>
      <c r="B71" s="467"/>
      <c r="C71" s="468">
        <f>F69</f>
        <v>198</v>
      </c>
      <c r="D71" s="468"/>
      <c r="E71" s="468"/>
      <c r="F71" s="468"/>
      <c r="G71" s="468">
        <f>J69</f>
        <v>121</v>
      </c>
      <c r="H71" s="468"/>
      <c r="I71" s="468"/>
      <c r="J71" s="468"/>
      <c r="K71" s="468">
        <f>N69</f>
        <v>123</v>
      </c>
      <c r="L71" s="468"/>
      <c r="M71" s="468"/>
      <c r="N71" s="468"/>
      <c r="O71" s="468">
        <f>R69</f>
        <v>154</v>
      </c>
      <c r="P71" s="468"/>
      <c r="Q71" s="468"/>
      <c r="R71" s="468"/>
    </row>
    <row r="72" spans="1:19" ht="20.100000000000001" customHeight="1" x14ac:dyDescent="0.2">
      <c r="A72" s="467" t="s">
        <v>66</v>
      </c>
      <c r="B72" s="467"/>
      <c r="C72" s="468">
        <f>VLOOKUP(C71,place,2,TRUE)</f>
        <v>1</v>
      </c>
      <c r="D72" s="468"/>
      <c r="E72" s="468"/>
      <c r="F72" s="468"/>
      <c r="G72" s="468">
        <f>VLOOKUP(G71,place,2,TRUE)</f>
        <v>4</v>
      </c>
      <c r="H72" s="468"/>
      <c r="I72" s="468"/>
      <c r="J72" s="468"/>
      <c r="K72" s="468">
        <f>VLOOKUP(K71,place,2,TRUE)</f>
        <v>3</v>
      </c>
      <c r="L72" s="468"/>
      <c r="M72" s="468"/>
      <c r="N72" s="468"/>
      <c r="O72" s="468">
        <f>VLOOKUP(O71,place,2,TRUE)</f>
        <v>2</v>
      </c>
      <c r="P72" s="468"/>
      <c r="Q72" s="468"/>
      <c r="R72" s="468"/>
    </row>
    <row r="73" spans="1:19" ht="20.25" customHeight="1" x14ac:dyDescent="0.2">
      <c r="C73" s="469">
        <f>300-C71</f>
        <v>102</v>
      </c>
      <c r="D73" s="469"/>
      <c r="E73" s="469"/>
      <c r="F73" s="469"/>
      <c r="G73" s="469">
        <f>300-G71</f>
        <v>179</v>
      </c>
      <c r="H73" s="469"/>
      <c r="I73" s="469"/>
      <c r="J73" s="469"/>
      <c r="K73" s="469">
        <f>300-K71</f>
        <v>177</v>
      </c>
      <c r="L73" s="469"/>
      <c r="M73" s="469"/>
      <c r="N73" s="469"/>
      <c r="O73" s="469">
        <f>300-O71</f>
        <v>146</v>
      </c>
      <c r="P73" s="469"/>
      <c r="Q73" s="469"/>
      <c r="R73" s="469"/>
    </row>
    <row r="77" spans="1:19" x14ac:dyDescent="0.2">
      <c r="C77" s="1" t="s">
        <v>67</v>
      </c>
      <c r="D77" s="3">
        <f>COUNTIF(C9:C69,1)</f>
        <v>34</v>
      </c>
      <c r="G77" s="1" t="s">
        <v>67</v>
      </c>
      <c r="H77" s="3">
        <f>COUNTIF(G9:G69,1)</f>
        <v>6</v>
      </c>
      <c r="K77" s="1" t="s">
        <v>67</v>
      </c>
      <c r="L77" s="3">
        <f>COUNTIF(K9:K69,1)</f>
        <v>5</v>
      </c>
      <c r="O77" s="1" t="s">
        <v>67</v>
      </c>
      <c r="P77" s="3">
        <f>COUNTIF(O9:O69,1)</f>
        <v>16</v>
      </c>
      <c r="S77" s="1">
        <f t="shared" ref="S77:S83" si="8">D77+H77+L77+P77</f>
        <v>61</v>
      </c>
    </row>
    <row r="78" spans="1:19" x14ac:dyDescent="0.2">
      <c r="C78" s="1" t="s">
        <v>68</v>
      </c>
      <c r="D78" s="3">
        <f>COUNTIF(C9:C69,2)</f>
        <v>16</v>
      </c>
      <c r="G78" s="1" t="s">
        <v>68</v>
      </c>
      <c r="H78" s="3">
        <f>COUNTIF(G9:G69,2)</f>
        <v>16</v>
      </c>
      <c r="K78" s="1" t="s">
        <v>68</v>
      </c>
      <c r="L78" s="3">
        <f>COUNTIF(K9:K69,2)</f>
        <v>15</v>
      </c>
      <c r="O78" s="1" t="s">
        <v>68</v>
      </c>
      <c r="P78" s="3">
        <f>COUNTIF(O9:O69,2)</f>
        <v>14</v>
      </c>
      <c r="S78" s="1">
        <f t="shared" si="8"/>
        <v>61</v>
      </c>
    </row>
    <row r="79" spans="1:19" x14ac:dyDescent="0.2">
      <c r="C79" s="1" t="s">
        <v>69</v>
      </c>
      <c r="D79" s="3">
        <f>COUNTIF(C9:C69,3)</f>
        <v>5</v>
      </c>
      <c r="G79" s="1" t="s">
        <v>69</v>
      </c>
      <c r="H79" s="3">
        <f>COUNTIF(G9:G69,3)</f>
        <v>15</v>
      </c>
      <c r="K79" s="1" t="s">
        <v>69</v>
      </c>
      <c r="L79" s="3">
        <f>COUNTIF(K9:K69,3)</f>
        <v>21</v>
      </c>
      <c r="O79" s="1" t="s">
        <v>69</v>
      </c>
      <c r="P79" s="3">
        <f>COUNTIF(O9:O69,3)</f>
        <v>19</v>
      </c>
      <c r="S79" s="1">
        <f t="shared" si="8"/>
        <v>60</v>
      </c>
    </row>
    <row r="80" spans="1:19" x14ac:dyDescent="0.2">
      <c r="C80" s="1" t="s">
        <v>70</v>
      </c>
      <c r="D80" s="3">
        <f>COUNTIF(C9:C69,4)</f>
        <v>4</v>
      </c>
      <c r="G80" s="1" t="s">
        <v>70</v>
      </c>
      <c r="H80" s="3">
        <f>COUNTIF(G9:G69,4)</f>
        <v>19</v>
      </c>
      <c r="K80" s="1" t="s">
        <v>70</v>
      </c>
      <c r="L80" s="3">
        <f>COUNTIF(K9:K69,4)</f>
        <v>16</v>
      </c>
      <c r="O80" s="1" t="s">
        <v>70</v>
      </c>
      <c r="P80" s="3">
        <f>COUNTIF(O9:O69,4)</f>
        <v>10</v>
      </c>
      <c r="S80" s="1">
        <f t="shared" si="8"/>
        <v>49</v>
      </c>
    </row>
    <row r="81" spans="3:24" x14ac:dyDescent="0.2">
      <c r="C81" s="1" t="s">
        <v>25</v>
      </c>
      <c r="D81" s="1">
        <f>COUNTIF(C9:C69,"DSQ")</f>
        <v>2</v>
      </c>
      <c r="G81" s="1" t="s">
        <v>25</v>
      </c>
      <c r="H81" s="1">
        <f>COUNTIF(G9:G69,"DSQ")</f>
        <v>3</v>
      </c>
      <c r="K81" s="1" t="s">
        <v>25</v>
      </c>
      <c r="L81" s="1">
        <f>COUNTIF(K9:K69,"DSQ")</f>
        <v>4</v>
      </c>
      <c r="O81" s="1" t="s">
        <v>25</v>
      </c>
      <c r="P81" s="1">
        <f>COUNTIF(O9:O69,"DSQ")</f>
        <v>2</v>
      </c>
      <c r="S81" s="1">
        <f t="shared" si="8"/>
        <v>11</v>
      </c>
    </row>
    <row r="82" spans="3:24" x14ac:dyDescent="0.2">
      <c r="C82" s="1" t="s">
        <v>27</v>
      </c>
      <c r="D82" s="1">
        <f>COUNTIF(C9:C69,"T/O")</f>
        <v>0</v>
      </c>
      <c r="G82" s="1" t="s">
        <v>27</v>
      </c>
      <c r="H82" s="1">
        <f>COUNTIF(G9:G69,"T/O")</f>
        <v>0</v>
      </c>
      <c r="K82" s="1" t="s">
        <v>27</v>
      </c>
      <c r="L82" s="1">
        <f>COUNTIF(K9:K69,"T/O")</f>
        <v>0</v>
      </c>
      <c r="O82" s="1" t="s">
        <v>27</v>
      </c>
      <c r="P82" s="1">
        <f>COUNTIF(O9:O69,"T/O")</f>
        <v>0</v>
      </c>
      <c r="S82" s="1">
        <f t="shared" si="8"/>
        <v>0</v>
      </c>
    </row>
    <row r="83" spans="3:24" x14ac:dyDescent="0.2">
      <c r="C83" s="1" t="s">
        <v>23</v>
      </c>
      <c r="D83" s="1">
        <f>COUNTIF(C9:C69,"DNS")</f>
        <v>0</v>
      </c>
      <c r="G83" s="1" t="s">
        <v>23</v>
      </c>
      <c r="H83" s="1">
        <f>COUNTIF(G9:G69,"DNS")</f>
        <v>2</v>
      </c>
      <c r="K83" s="1" t="s">
        <v>23</v>
      </c>
      <c r="L83" s="1">
        <f>COUNTIF(K9:K69,"DNS")</f>
        <v>0</v>
      </c>
      <c r="O83" s="1" t="s">
        <v>23</v>
      </c>
      <c r="P83" s="1">
        <f>COUNTIF(O9:O69,"DNS")</f>
        <v>0</v>
      </c>
      <c r="S83" s="1">
        <f t="shared" si="8"/>
        <v>2</v>
      </c>
    </row>
    <row r="84" spans="3:24" x14ac:dyDescent="0.2">
      <c r="C84" s="1" t="s">
        <v>71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spans="3:24" x14ac:dyDescent="0.2">
      <c r="T85" s="4" t="s">
        <v>72</v>
      </c>
    </row>
    <row r="86" spans="3:24" x14ac:dyDescent="0.2">
      <c r="U86" s="3" t="str">
        <f>C5</f>
        <v>Stokesley</v>
      </c>
      <c r="V86" s="1" t="str">
        <f>G5</f>
        <v>Guisborough</v>
      </c>
      <c r="W86" s="1" t="str">
        <f>K5</f>
        <v>Eston</v>
      </c>
      <c r="X86" s="1" t="str">
        <f>O5</f>
        <v>Northallerton</v>
      </c>
    </row>
    <row r="87" spans="3:24" x14ac:dyDescent="0.2">
      <c r="T87" s="1" t="s">
        <v>67</v>
      </c>
      <c r="U87" s="3">
        <f t="shared" ref="U87:U93" si="9">D77</f>
        <v>34</v>
      </c>
      <c r="V87" s="1">
        <f t="shared" ref="V87:V93" si="10">H77</f>
        <v>6</v>
      </c>
      <c r="W87" s="1">
        <f t="shared" ref="W87:W93" si="11">L77</f>
        <v>5</v>
      </c>
      <c r="X87" s="1">
        <f t="shared" ref="X87:X93" si="12">P77</f>
        <v>16</v>
      </c>
    </row>
    <row r="88" spans="3:24" x14ac:dyDescent="0.2">
      <c r="D88" s="237" t="s">
        <v>73</v>
      </c>
      <c r="E88" s="238"/>
      <c r="F88" s="239"/>
      <c r="T88" s="1" t="s">
        <v>68</v>
      </c>
      <c r="U88" s="3">
        <f t="shared" si="9"/>
        <v>16</v>
      </c>
      <c r="V88" s="1">
        <f t="shared" si="10"/>
        <v>16</v>
      </c>
      <c r="W88" s="1">
        <f t="shared" si="11"/>
        <v>15</v>
      </c>
      <c r="X88" s="1">
        <f t="shared" si="12"/>
        <v>14</v>
      </c>
    </row>
    <row r="89" spans="3:24" x14ac:dyDescent="0.2">
      <c r="D89" s="240">
        <f>LARGE(C71:R71,4)</f>
        <v>121</v>
      </c>
      <c r="E89" s="1">
        <v>4</v>
      </c>
      <c r="F89" s="241"/>
      <c r="T89" s="1" t="s">
        <v>69</v>
      </c>
      <c r="U89" s="3">
        <f t="shared" si="9"/>
        <v>5</v>
      </c>
      <c r="V89" s="1">
        <f t="shared" si="10"/>
        <v>15</v>
      </c>
      <c r="W89" s="1">
        <f t="shared" si="11"/>
        <v>21</v>
      </c>
      <c r="X89" s="1">
        <f t="shared" si="12"/>
        <v>19</v>
      </c>
    </row>
    <row r="90" spans="3:24" x14ac:dyDescent="0.2">
      <c r="D90" s="240">
        <f>LARGE(C71:R71,3)</f>
        <v>123</v>
      </c>
      <c r="E90" s="1">
        <v>3</v>
      </c>
      <c r="F90" s="241"/>
      <c r="T90" s="1" t="s">
        <v>70</v>
      </c>
      <c r="U90" s="3">
        <f t="shared" si="9"/>
        <v>4</v>
      </c>
      <c r="V90" s="1">
        <f t="shared" si="10"/>
        <v>19</v>
      </c>
      <c r="W90" s="1">
        <f t="shared" si="11"/>
        <v>16</v>
      </c>
      <c r="X90" s="1">
        <f t="shared" si="12"/>
        <v>10</v>
      </c>
    </row>
    <row r="91" spans="3:24" x14ac:dyDescent="0.2">
      <c r="D91" s="240">
        <f>LARGE(C71:R71,2)</f>
        <v>154</v>
      </c>
      <c r="E91" s="1">
        <v>2</v>
      </c>
      <c r="F91" s="241"/>
      <c r="T91" s="1" t="s">
        <v>25</v>
      </c>
      <c r="U91" s="3">
        <f t="shared" si="9"/>
        <v>2</v>
      </c>
      <c r="V91" s="1">
        <f t="shared" si="10"/>
        <v>3</v>
      </c>
      <c r="W91" s="1">
        <f t="shared" si="11"/>
        <v>4</v>
      </c>
      <c r="X91" s="1">
        <f t="shared" si="12"/>
        <v>2</v>
      </c>
    </row>
    <row r="92" spans="3:24" x14ac:dyDescent="0.2">
      <c r="D92" s="240">
        <f>LARGE(C71:R71,1)</f>
        <v>198</v>
      </c>
      <c r="E92" s="1">
        <v>1</v>
      </c>
      <c r="F92" s="241"/>
      <c r="T92" s="1" t="s">
        <v>27</v>
      </c>
      <c r="U92" s="3">
        <f t="shared" si="9"/>
        <v>0</v>
      </c>
      <c r="V92" s="1">
        <f t="shared" si="10"/>
        <v>0</v>
      </c>
      <c r="W92" s="1">
        <f t="shared" si="11"/>
        <v>0</v>
      </c>
      <c r="X92" s="1">
        <f t="shared" si="12"/>
        <v>0</v>
      </c>
    </row>
    <row r="93" spans="3:24" x14ac:dyDescent="0.2">
      <c r="D93" s="242"/>
      <c r="E93" s="243"/>
      <c r="F93" s="244"/>
      <c r="T93" s="1" t="s">
        <v>23</v>
      </c>
      <c r="U93" s="3">
        <f t="shared" si="9"/>
        <v>0</v>
      </c>
      <c r="V93" s="1">
        <f t="shared" si="10"/>
        <v>2</v>
      </c>
      <c r="W93" s="1">
        <f t="shared" si="11"/>
        <v>0</v>
      </c>
      <c r="X93" s="1">
        <f t="shared" si="12"/>
        <v>0</v>
      </c>
    </row>
  </sheetData>
  <sheetProtection algorithmName="SHA-512" hashValue="ekKi4tZxlB7Z9HI8QMhO87F5xsNWj33oBuLdMxokgTelNQjGhPAS0wBcKCsL+ahPtTZydLz0bs3WGtooLXRRoQ==" saltValue="TyfJA8X032Tg8eH+3qAwQA==" spinCount="100000" sheet="1" objects="1" scenarios="1"/>
  <mergeCells count="25"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1:R1"/>
    <mergeCell ref="J3:K3"/>
    <mergeCell ref="A5:B5"/>
    <mergeCell ref="C5:F5"/>
    <mergeCell ref="G5:J5"/>
    <mergeCell ref="K5:N5"/>
    <mergeCell ref="O5:R5"/>
  </mergeCells>
  <printOptions horizontalCentered="1" verticalCentered="1"/>
  <pageMargins left="0.11805555555555555" right="0.11805555555555555" top="0" bottom="0" header="0.51180555555555551" footer="0.51180555555555551"/>
  <pageSetup paperSize="9" scale="90" firstPageNumber="0" orientation="landscape" r:id="rId1"/>
  <headerFooter alignWithMargins="0"/>
  <rowBreaks count="3" manualBreakCount="3">
    <brk id="72" max="16383" man="1"/>
    <brk id="74" max="16383" man="1"/>
    <brk id="10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15"/>
  <sheetViews>
    <sheetView workbookViewId="0">
      <selection activeCell="A11" sqref="A11"/>
    </sheetView>
  </sheetViews>
  <sheetFormatPr defaultRowHeight="12.75" x14ac:dyDescent="0.2"/>
  <cols>
    <col min="1" max="1" width="14.28515625" customWidth="1"/>
    <col min="2" max="2" width="9.140625" style="21"/>
    <col min="3" max="3" width="20.85546875" customWidth="1"/>
    <col min="4" max="4" width="39.85546875" customWidth="1"/>
  </cols>
  <sheetData>
    <row r="3" spans="1:4" ht="18" x14ac:dyDescent="0.25">
      <c r="A3" s="77" t="s">
        <v>172</v>
      </c>
      <c r="B3" s="79"/>
      <c r="C3" s="78"/>
    </row>
    <row r="4" spans="1:4" x14ac:dyDescent="0.2">
      <c r="A4" s="78"/>
      <c r="B4" s="79"/>
      <c r="C4" s="78"/>
    </row>
    <row r="5" spans="1:4" x14ac:dyDescent="0.2">
      <c r="A5" s="78" t="s">
        <v>173</v>
      </c>
      <c r="B5" s="79" t="s">
        <v>174</v>
      </c>
      <c r="C5" s="78" t="s">
        <v>175</v>
      </c>
    </row>
    <row r="7" spans="1:4" x14ac:dyDescent="0.2">
      <c r="A7" t="s">
        <v>150</v>
      </c>
      <c r="D7" t="s">
        <v>570</v>
      </c>
    </row>
    <row r="8" spans="1:4" x14ac:dyDescent="0.2">
      <c r="C8" s="21"/>
    </row>
    <row r="9" spans="1:4" x14ac:dyDescent="0.2">
      <c r="A9" t="s">
        <v>359</v>
      </c>
      <c r="B9"/>
      <c r="D9" t="s">
        <v>577</v>
      </c>
    </row>
    <row r="10" spans="1:4" ht="15" x14ac:dyDescent="0.2">
      <c r="B10" s="82"/>
    </row>
    <row r="11" spans="1:4" ht="15" x14ac:dyDescent="0.2">
      <c r="B11" s="82"/>
    </row>
    <row r="12" spans="1:4" ht="15" x14ac:dyDescent="0.2">
      <c r="B12" s="91"/>
    </row>
    <row r="13" spans="1:4" ht="15" x14ac:dyDescent="0.2">
      <c r="B13" s="91"/>
    </row>
    <row r="14" spans="1:4" ht="15" x14ac:dyDescent="0.2">
      <c r="B14" s="91"/>
    </row>
    <row r="15" spans="1:4" ht="15" x14ac:dyDescent="0.2">
      <c r="B15" s="9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"/>
  <sheetViews>
    <sheetView workbookViewId="0">
      <selection activeCell="K8" sqref="K8:N8"/>
    </sheetView>
  </sheetViews>
  <sheetFormatPr defaultColWidth="8.85546875" defaultRowHeight="12.75" x14ac:dyDescent="0.2"/>
  <sheetData>
    <row r="1" spans="1:18" s="1" customFormat="1" ht="28.5" customHeight="1" x14ac:dyDescent="0.45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18" s="1" customFormat="1" ht="28.5" customHeight="1" x14ac:dyDescent="0.45">
      <c r="A2" s="5"/>
      <c r="B2" s="6"/>
      <c r="C2" s="5"/>
      <c r="D2" s="5"/>
      <c r="E2" s="5"/>
      <c r="F2" s="7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</row>
    <row r="3" spans="1:18" s="1" customFormat="1" ht="16.5" customHeight="1" x14ac:dyDescent="0.25">
      <c r="B3" s="8" t="s">
        <v>1</v>
      </c>
      <c r="C3" s="9" t="str">
        <f>'Moors League'!C3</f>
        <v>Redcar Leisure Centre (Host Stokesley)</v>
      </c>
      <c r="D3" s="3"/>
      <c r="F3" s="4"/>
      <c r="J3" s="461" t="s">
        <v>2</v>
      </c>
      <c r="K3" s="461"/>
      <c r="L3" s="9" t="str">
        <f>'Moors League'!L3</f>
        <v>17th June 2023</v>
      </c>
      <c r="N3" s="4"/>
      <c r="P3" s="3"/>
      <c r="R3" s="4"/>
    </row>
    <row r="4" spans="1:18" s="1" customFormat="1" ht="16.5" customHeight="1" x14ac:dyDescent="0.25">
      <c r="B4" s="8"/>
      <c r="C4" s="10"/>
      <c r="D4" s="3"/>
      <c r="F4" s="4"/>
      <c r="J4" s="4"/>
      <c r="L4" s="3"/>
      <c r="N4" s="4"/>
      <c r="P4" s="3"/>
      <c r="R4" s="4"/>
    </row>
    <row r="6" spans="1:18" s="11" customFormat="1" ht="14.25" x14ac:dyDescent="0.2">
      <c r="A6" s="472" t="s">
        <v>3</v>
      </c>
      <c r="B6" s="472"/>
      <c r="C6" s="472" t="str">
        <f>'Moors League'!C5:F5</f>
        <v>Stokesley</v>
      </c>
      <c r="D6" s="472"/>
      <c r="E6" s="472"/>
      <c r="F6" s="472"/>
      <c r="G6" s="475" t="str">
        <f>'Moors League'!G5:J5</f>
        <v>Guisborough</v>
      </c>
      <c r="H6" s="475"/>
      <c r="I6" s="475"/>
      <c r="J6" s="475"/>
      <c r="K6" s="472" t="str">
        <f>'Moors League'!K5:N5</f>
        <v>Eston</v>
      </c>
      <c r="L6" s="472"/>
      <c r="M6" s="472"/>
      <c r="N6" s="472"/>
      <c r="O6" s="472" t="str">
        <f>'Moors League'!O5:R5</f>
        <v>Northallerton</v>
      </c>
      <c r="P6" s="472"/>
      <c r="Q6" s="472"/>
      <c r="R6" s="472"/>
    </row>
    <row r="7" spans="1:18" x14ac:dyDescent="0.2">
      <c r="A7" s="19"/>
      <c r="B7" s="20"/>
      <c r="C7" s="473" t="s">
        <v>7</v>
      </c>
      <c r="D7" s="473"/>
      <c r="E7" s="473"/>
      <c r="F7" s="473"/>
      <c r="G7" s="474" t="s">
        <v>8</v>
      </c>
      <c r="H7" s="474"/>
      <c r="I7" s="474"/>
      <c r="J7" s="474"/>
      <c r="K7" s="473" t="s">
        <v>9</v>
      </c>
      <c r="L7" s="473"/>
      <c r="M7" s="473"/>
      <c r="N7" s="473"/>
      <c r="O7" s="473" t="s">
        <v>10</v>
      </c>
      <c r="P7" s="473"/>
      <c r="Q7" s="473"/>
      <c r="R7" s="473"/>
    </row>
    <row r="8" spans="1:18" s="1" customFormat="1" ht="20.100000000000001" customHeight="1" x14ac:dyDescent="0.2">
      <c r="A8" s="467" t="s">
        <v>74</v>
      </c>
      <c r="B8" s="467"/>
      <c r="C8" s="468">
        <f>SUM('Moors League'!C71:F71)</f>
        <v>198</v>
      </c>
      <c r="D8" s="468"/>
      <c r="E8" s="468"/>
      <c r="F8" s="468"/>
      <c r="G8" s="468">
        <f>SUM('Moors League'!G71:J71)</f>
        <v>121</v>
      </c>
      <c r="H8" s="468"/>
      <c r="I8" s="468"/>
      <c r="J8" s="468"/>
      <c r="K8" s="468">
        <f>SUM('Moors League'!K71:N71)</f>
        <v>123</v>
      </c>
      <c r="L8" s="468"/>
      <c r="M8" s="468"/>
      <c r="N8" s="468"/>
      <c r="O8" s="468">
        <f>SUM('Moors League'!O71:R71)</f>
        <v>154</v>
      </c>
      <c r="P8" s="468"/>
      <c r="Q8" s="468"/>
      <c r="R8" s="468"/>
    </row>
    <row r="9" spans="1:18" s="1" customFormat="1" ht="20.100000000000001" customHeight="1" x14ac:dyDescent="0.2">
      <c r="A9" s="467" t="s">
        <v>66</v>
      </c>
      <c r="B9" s="467"/>
      <c r="C9" s="468">
        <f>SUM('Moors League'!C72:F72)</f>
        <v>1</v>
      </c>
      <c r="D9" s="468"/>
      <c r="E9" s="468"/>
      <c r="F9" s="468"/>
      <c r="G9" s="468">
        <f>SUM('Moors League'!G72:J72)</f>
        <v>4</v>
      </c>
      <c r="H9" s="468"/>
      <c r="I9" s="468"/>
      <c r="J9" s="468"/>
      <c r="K9" s="468">
        <f>SUM('Moors League'!K72:N72)</f>
        <v>3</v>
      </c>
      <c r="L9" s="468"/>
      <c r="M9" s="468"/>
      <c r="N9" s="468"/>
      <c r="O9" s="468">
        <f>SUM('Moors League'!O72:R72)</f>
        <v>2</v>
      </c>
      <c r="P9" s="468"/>
      <c r="Q9" s="468"/>
      <c r="R9" s="468"/>
    </row>
  </sheetData>
  <sheetProtection password="8D01" sheet="1"/>
  <mergeCells count="21"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  <mergeCell ref="A9:B9"/>
    <mergeCell ref="C9:F9"/>
    <mergeCell ref="G9:J9"/>
    <mergeCell ref="K9:N9"/>
    <mergeCell ref="K8:N8"/>
    <mergeCell ref="G8:J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7"/>
  <sheetViews>
    <sheetView topLeftCell="A10" workbookViewId="0">
      <selection activeCell="D25" sqref="D25"/>
    </sheetView>
  </sheetViews>
  <sheetFormatPr defaultRowHeight="12.75" x14ac:dyDescent="0.2"/>
  <cols>
    <col min="1" max="1" width="3.7109375" style="21" customWidth="1"/>
    <col min="2" max="2" width="14.140625" customWidth="1"/>
    <col min="3" max="3" width="19.28515625" customWidth="1"/>
    <col min="4" max="4" width="25" customWidth="1"/>
    <col min="5" max="5" width="9.28515625" style="21" customWidth="1"/>
    <col min="6" max="6" width="9.140625" style="22"/>
    <col min="7" max="7" width="26" customWidth="1"/>
    <col min="8" max="8" width="10.140625" style="22" customWidth="1"/>
    <col min="9" max="9" width="10.140625" style="23" customWidth="1"/>
    <col min="10" max="10" width="8.42578125" style="23" customWidth="1"/>
    <col min="11" max="11" width="9.140625" style="24"/>
    <col min="12" max="12" width="9.140625" style="23"/>
    <col min="14" max="14" width="33.85546875" style="170" customWidth="1"/>
    <col min="15" max="15" width="0" style="129" hidden="1" customWidth="1"/>
    <col min="16" max="16" width="0" style="104" hidden="1" customWidth="1"/>
  </cols>
  <sheetData>
    <row r="1" spans="1:16" ht="29.25" customHeight="1" x14ac:dyDescent="0.35">
      <c r="A1" s="476" t="s">
        <v>75</v>
      </c>
      <c r="B1" s="476"/>
      <c r="C1" s="476"/>
      <c r="D1" s="476"/>
      <c r="E1" s="117"/>
      <c r="G1" s="25" t="str">
        <f>'Moors League'!U86</f>
        <v>Stokesley</v>
      </c>
    </row>
    <row r="2" spans="1:16" s="27" customFormat="1" ht="18.75" x14ac:dyDescent="0.3">
      <c r="A2" s="477" t="s">
        <v>1</v>
      </c>
      <c r="B2" s="477"/>
      <c r="C2" s="26" t="str">
        <f>'Moors League'!C3</f>
        <v>Redcar Leisure Centre (Host Stokesley)</v>
      </c>
      <c r="D2" s="26"/>
      <c r="E2" s="118"/>
      <c r="F2" s="27" t="s">
        <v>76</v>
      </c>
      <c r="G2" s="28" t="str">
        <f>'Moors League'!L3</f>
        <v>17th June 2023</v>
      </c>
      <c r="I2" s="29"/>
      <c r="J2" s="29"/>
      <c r="K2" s="30"/>
      <c r="L2" s="29"/>
      <c r="N2" s="171"/>
      <c r="O2" s="126" t="s">
        <v>181</v>
      </c>
      <c r="P2" s="105" t="s">
        <v>182</v>
      </c>
    </row>
    <row r="3" spans="1:16" s="32" customFormat="1" x14ac:dyDescent="0.2">
      <c r="A3" s="31"/>
      <c r="E3" s="31"/>
      <c r="F3" s="33"/>
      <c r="H3" s="33"/>
      <c r="I3" s="34"/>
      <c r="J3" s="34"/>
      <c r="K3" s="35" t="s">
        <v>16</v>
      </c>
      <c r="L3" s="71" t="s">
        <v>284</v>
      </c>
      <c r="M3" s="100" t="s">
        <v>286</v>
      </c>
      <c r="N3" s="172" t="s">
        <v>285</v>
      </c>
      <c r="O3" s="127"/>
      <c r="P3" s="106"/>
    </row>
    <row r="4" spans="1:16" s="32" customFormat="1" ht="21.75" customHeight="1" x14ac:dyDescent="0.2">
      <c r="A4" s="51">
        <v>1</v>
      </c>
      <c r="B4" s="36" t="s">
        <v>77</v>
      </c>
      <c r="C4" s="63" t="s">
        <v>78</v>
      </c>
      <c r="D4" s="367" t="s">
        <v>363</v>
      </c>
      <c r="E4" s="119"/>
      <c r="F4" s="95">
        <f>'Moors League'!D9</f>
        <v>33.299999999999997</v>
      </c>
      <c r="G4" s="1"/>
      <c r="H4" s="52"/>
      <c r="I4" s="52"/>
      <c r="J4" s="57"/>
      <c r="K4" s="53">
        <f>'Moors League'!E9</f>
        <v>3</v>
      </c>
      <c r="L4" s="56"/>
      <c r="N4" s="102" t="str">
        <f>_xlfn.IFNA((VLOOKUP(L4,'DQ Lookup'!$A$2:$B$59,2,FALSE)),"")</f>
        <v/>
      </c>
      <c r="O4" s="127"/>
      <c r="P4" s="107">
        <f>O4-F4</f>
        <v>-33.299999999999997</v>
      </c>
    </row>
    <row r="5" spans="1:16" s="32" customFormat="1" ht="21.75" customHeight="1" x14ac:dyDescent="0.2">
      <c r="A5" s="51">
        <v>2</v>
      </c>
      <c r="B5" s="36" t="s">
        <v>79</v>
      </c>
      <c r="C5" s="63" t="s">
        <v>78</v>
      </c>
      <c r="D5" s="367" t="s">
        <v>364</v>
      </c>
      <c r="E5" s="376"/>
      <c r="F5" s="95">
        <f>'Moors League'!D10</f>
        <v>30.18</v>
      </c>
      <c r="G5" s="49"/>
      <c r="H5" s="46"/>
      <c r="I5" s="57"/>
      <c r="J5" s="57"/>
      <c r="K5" s="53">
        <f>'Moors League'!E10</f>
        <v>4</v>
      </c>
      <c r="L5" s="56"/>
      <c r="N5" s="102" t="str">
        <f>_xlfn.IFNA((VLOOKUP(L5,'DQ Lookup'!$A$2:$B$59,2,FALSE)),"")</f>
        <v/>
      </c>
      <c r="O5" s="127"/>
      <c r="P5" s="107">
        <f t="shared" ref="P5:P11" si="0">O5-F5</f>
        <v>-30.18</v>
      </c>
    </row>
    <row r="6" spans="1:16" s="32" customFormat="1" ht="21.75" customHeight="1" x14ac:dyDescent="0.2">
      <c r="A6" s="51">
        <v>3</v>
      </c>
      <c r="B6" s="36" t="s">
        <v>80</v>
      </c>
      <c r="C6" s="63" t="s">
        <v>81</v>
      </c>
      <c r="D6" s="367" t="s">
        <v>365</v>
      </c>
      <c r="E6" s="119"/>
      <c r="F6" s="95">
        <f>'Moors League'!D11</f>
        <v>37.630000000000003</v>
      </c>
      <c r="G6" s="74"/>
      <c r="H6" s="1"/>
      <c r="I6" s="57"/>
      <c r="J6" s="57"/>
      <c r="K6" s="53">
        <f>'Moors League'!E11</f>
        <v>4</v>
      </c>
      <c r="L6" s="56"/>
      <c r="N6" s="102" t="str">
        <f>_xlfn.IFNA((VLOOKUP(L6,'DQ Lookup'!$A$2:$B$59,2,FALSE)),"")</f>
        <v/>
      </c>
      <c r="O6" s="127"/>
      <c r="P6" s="107">
        <f t="shared" si="0"/>
        <v>-37.630000000000003</v>
      </c>
    </row>
    <row r="7" spans="1:16" s="32" customFormat="1" ht="21.75" customHeight="1" x14ac:dyDescent="0.2">
      <c r="A7" s="51">
        <v>4</v>
      </c>
      <c r="B7" s="36" t="s">
        <v>82</v>
      </c>
      <c r="C7" s="63" t="s">
        <v>81</v>
      </c>
      <c r="D7" s="367" t="s">
        <v>366</v>
      </c>
      <c r="E7" s="119"/>
      <c r="F7" s="95">
        <f>'Moors League'!D12</f>
        <v>38.69</v>
      </c>
      <c r="G7" s="74"/>
      <c r="H7" s="1"/>
      <c r="I7" s="57"/>
      <c r="J7" s="57"/>
      <c r="K7" s="53">
        <f>'Moors League'!E12</f>
        <v>3</v>
      </c>
      <c r="L7" s="56"/>
      <c r="N7" s="102" t="str">
        <f>_xlfn.IFNA((VLOOKUP(L7,'DQ Lookup'!$A$2:$B$59,2,FALSE)),"")</f>
        <v/>
      </c>
      <c r="O7" s="127"/>
      <c r="P7" s="107">
        <f t="shared" si="0"/>
        <v>-38.69</v>
      </c>
    </row>
    <row r="8" spans="1:16" s="32" customFormat="1" ht="21.75" customHeight="1" x14ac:dyDescent="0.2">
      <c r="A8" s="51">
        <v>5</v>
      </c>
      <c r="B8" s="36" t="s">
        <v>83</v>
      </c>
      <c r="C8" s="63" t="s">
        <v>84</v>
      </c>
      <c r="D8" s="367" t="s">
        <v>367</v>
      </c>
      <c r="E8" s="119"/>
      <c r="F8" s="95">
        <f>'Moors League'!D13</f>
        <v>39.700000000000003</v>
      </c>
      <c r="G8" s="1"/>
      <c r="H8" s="46"/>
      <c r="I8" s="57"/>
      <c r="J8" s="57"/>
      <c r="K8" s="53">
        <f>'Moors League'!E13</f>
        <v>4</v>
      </c>
      <c r="L8" s="56"/>
      <c r="N8" s="102" t="str">
        <f>_xlfn.IFNA((VLOOKUP(L8,'DQ Lookup'!$A$2:$B$59,2,FALSE)),"")</f>
        <v/>
      </c>
      <c r="O8" s="127"/>
      <c r="P8" s="107">
        <f t="shared" si="0"/>
        <v>-39.700000000000003</v>
      </c>
    </row>
    <row r="9" spans="1:16" s="32" customFormat="1" ht="21.75" customHeight="1" x14ac:dyDescent="0.2">
      <c r="A9" s="51">
        <v>6</v>
      </c>
      <c r="B9" s="36" t="s">
        <v>85</v>
      </c>
      <c r="C9" s="63" t="s">
        <v>84</v>
      </c>
      <c r="D9" s="367" t="s">
        <v>368</v>
      </c>
      <c r="E9" s="119"/>
      <c r="F9" s="95">
        <f>'Moors League'!D14</f>
        <v>42.69</v>
      </c>
      <c r="G9" s="81"/>
      <c r="H9" s="46"/>
      <c r="I9" s="57"/>
      <c r="J9" s="57"/>
      <c r="K9" s="53">
        <f>'Moors League'!E14</f>
        <v>1</v>
      </c>
      <c r="L9" s="56"/>
      <c r="N9" s="102" t="str">
        <f>_xlfn.IFNA((VLOOKUP(L9,'DQ Lookup'!$A$2:$B$59,2,FALSE)),"")</f>
        <v/>
      </c>
      <c r="O9" s="127"/>
      <c r="P9" s="107">
        <f t="shared" si="0"/>
        <v>-42.69</v>
      </c>
    </row>
    <row r="10" spans="1:16" s="32" customFormat="1" ht="21.75" customHeight="1" x14ac:dyDescent="0.2">
      <c r="A10" s="51">
        <v>7</v>
      </c>
      <c r="B10" s="36" t="s">
        <v>86</v>
      </c>
      <c r="C10" s="63" t="s">
        <v>87</v>
      </c>
      <c r="D10" s="367" t="s">
        <v>369</v>
      </c>
      <c r="E10" s="119"/>
      <c r="F10" s="95">
        <f>'Moors League'!D15</f>
        <v>17.03</v>
      </c>
      <c r="G10" s="60"/>
      <c r="H10" s="46"/>
      <c r="I10" s="57"/>
      <c r="J10" s="57"/>
      <c r="K10" s="53">
        <f>'Moors League'!E15</f>
        <v>3</v>
      </c>
      <c r="L10" s="56"/>
      <c r="N10" s="102" t="str">
        <f>_xlfn.IFNA((VLOOKUP(L10,'DQ Lookup'!$A$2:$B$59,2,FALSE)),"")</f>
        <v/>
      </c>
      <c r="O10" s="127"/>
      <c r="P10" s="107">
        <f t="shared" si="0"/>
        <v>-17.03</v>
      </c>
    </row>
    <row r="11" spans="1:16" s="32" customFormat="1" ht="21.75" customHeight="1" x14ac:dyDescent="0.2">
      <c r="A11" s="51">
        <v>8</v>
      </c>
      <c r="B11" s="36" t="s">
        <v>88</v>
      </c>
      <c r="C11" s="63" t="s">
        <v>87</v>
      </c>
      <c r="D11" s="367" t="s">
        <v>370</v>
      </c>
      <c r="E11" s="119"/>
      <c r="F11" s="95">
        <f>'Moors League'!D16</f>
        <v>15.81</v>
      </c>
      <c r="G11" s="1"/>
      <c r="H11" s="46"/>
      <c r="I11" s="57"/>
      <c r="J11" s="57"/>
      <c r="K11" s="53">
        <f>'Moors League'!E16</f>
        <v>4</v>
      </c>
      <c r="L11" s="56"/>
      <c r="N11" s="102" t="str">
        <f>_xlfn.IFNA((VLOOKUP(L11,'DQ Lookup'!$A$2:$B$59,2,FALSE)),"")</f>
        <v/>
      </c>
      <c r="O11" s="127"/>
      <c r="P11" s="107">
        <f t="shared" si="0"/>
        <v>-15.81</v>
      </c>
    </row>
    <row r="12" spans="1:16" s="32" customFormat="1" ht="21.75" customHeight="1" x14ac:dyDescent="0.2">
      <c r="A12" s="51">
        <v>9</v>
      </c>
      <c r="B12" s="36" t="s">
        <v>89</v>
      </c>
      <c r="C12" s="63" t="s">
        <v>90</v>
      </c>
      <c r="D12" s="367" t="s">
        <v>371</v>
      </c>
      <c r="E12" s="119"/>
      <c r="F12" s="95">
        <f>'Moors League'!D17</f>
        <v>34.1</v>
      </c>
      <c r="G12" s="49"/>
      <c r="H12" s="46"/>
      <c r="I12" s="57"/>
      <c r="J12" s="57"/>
      <c r="K12" s="53">
        <f>'Moors League'!E17</f>
        <v>3</v>
      </c>
      <c r="L12" s="56"/>
      <c r="N12" s="102" t="str">
        <f>_xlfn.IFNA((VLOOKUP(L12,'DQ Lookup'!$A$2:$B$59,2,FALSE)),"")</f>
        <v/>
      </c>
      <c r="O12" s="127"/>
      <c r="P12" s="107"/>
    </row>
    <row r="13" spans="1:16" s="32" customFormat="1" ht="21.75" customHeight="1" x14ac:dyDescent="0.2">
      <c r="A13" s="51">
        <v>10</v>
      </c>
      <c r="B13" s="36" t="s">
        <v>91</v>
      </c>
      <c r="C13" s="63" t="s">
        <v>90</v>
      </c>
      <c r="D13" s="367" t="s">
        <v>372</v>
      </c>
      <c r="E13" s="119"/>
      <c r="F13" s="95">
        <f>'Moors League'!D18</f>
        <v>39.72</v>
      </c>
      <c r="G13" s="74"/>
      <c r="H13" s="46"/>
      <c r="I13" s="57"/>
      <c r="J13" s="57"/>
      <c r="K13" s="53">
        <f>'Moors League'!E18</f>
        <v>3</v>
      </c>
      <c r="L13" s="56"/>
      <c r="N13" s="102" t="str">
        <f>_xlfn.IFNA((VLOOKUP(L13,'DQ Lookup'!$A$2:$B$59,2,FALSE)),"")</f>
        <v/>
      </c>
      <c r="O13" s="127"/>
      <c r="P13" s="107">
        <f>O13-F13</f>
        <v>-39.72</v>
      </c>
    </row>
    <row r="14" spans="1:16" s="32" customFormat="1" ht="21.75" customHeight="1" x14ac:dyDescent="0.2">
      <c r="A14" s="51">
        <v>11</v>
      </c>
      <c r="B14" s="36" t="s">
        <v>77</v>
      </c>
      <c r="C14" s="63" t="s">
        <v>183</v>
      </c>
      <c r="D14" s="367" t="s">
        <v>363</v>
      </c>
      <c r="E14" s="119" t="s">
        <v>93</v>
      </c>
      <c r="F14" s="371"/>
      <c r="G14" s="417" t="s">
        <v>381</v>
      </c>
      <c r="H14" s="115" t="s">
        <v>94</v>
      </c>
      <c r="I14" s="193"/>
      <c r="J14" s="132"/>
      <c r="K14" s="50"/>
      <c r="L14" s="56"/>
      <c r="N14" s="102" t="str">
        <f>_xlfn.IFNA((VLOOKUP(L14,'DQ Lookup'!$A$2:$B$59,2,FALSE)),"")</f>
        <v/>
      </c>
      <c r="O14" s="127"/>
      <c r="P14" s="107"/>
    </row>
    <row r="15" spans="1:16" s="32" customFormat="1" ht="21.75" customHeight="1" x14ac:dyDescent="0.2">
      <c r="A15" s="51"/>
      <c r="B15" s="36"/>
      <c r="C15" s="63"/>
      <c r="D15" s="367" t="s">
        <v>373</v>
      </c>
      <c r="E15" s="119" t="s">
        <v>95</v>
      </c>
      <c r="F15" s="371"/>
      <c r="G15" s="411" t="s">
        <v>387</v>
      </c>
      <c r="H15" s="115" t="s">
        <v>96</v>
      </c>
      <c r="I15" s="193"/>
      <c r="J15" s="131" t="str">
        <f>'Moors League'!D19</f>
        <v>2.12.15</v>
      </c>
      <c r="K15" s="53">
        <f>'Moors League'!E19</f>
        <v>4</v>
      </c>
      <c r="L15" s="56"/>
      <c r="N15" s="102" t="str">
        <f>_xlfn.IFNA((VLOOKUP(L15,'DQ Lookup'!$A$2:$B$59,2,FALSE)),"")</f>
        <v/>
      </c>
      <c r="O15" s="127"/>
      <c r="P15" s="107"/>
    </row>
    <row r="16" spans="1:16" s="32" customFormat="1" ht="21.75" customHeight="1" x14ac:dyDescent="0.2">
      <c r="A16" s="51">
        <v>12</v>
      </c>
      <c r="B16" s="36" t="s">
        <v>79</v>
      </c>
      <c r="C16" s="63" t="s">
        <v>183</v>
      </c>
      <c r="D16" s="367" t="s">
        <v>364</v>
      </c>
      <c r="E16" s="120" t="s">
        <v>93</v>
      </c>
      <c r="F16" s="194"/>
      <c r="G16" s="411" t="s">
        <v>382</v>
      </c>
      <c r="H16" s="115" t="s">
        <v>94</v>
      </c>
      <c r="I16" s="193"/>
      <c r="J16" s="54" t="s">
        <v>506</v>
      </c>
      <c r="K16" s="50"/>
      <c r="L16" s="56"/>
      <c r="N16" s="102" t="str">
        <f>_xlfn.IFNA((VLOOKUP(L16,'DQ Lookup'!$A$2:$B$59,2,FALSE)),"")</f>
        <v/>
      </c>
      <c r="O16" s="127"/>
      <c r="P16" s="107"/>
    </row>
    <row r="17" spans="1:16" s="32" customFormat="1" ht="21.75" customHeight="1" x14ac:dyDescent="0.2">
      <c r="A17" s="51"/>
      <c r="B17" s="36"/>
      <c r="C17" s="86"/>
      <c r="D17" s="367" t="s">
        <v>374</v>
      </c>
      <c r="E17" s="119" t="s">
        <v>95</v>
      </c>
      <c r="F17" s="371"/>
      <c r="G17" s="411" t="s">
        <v>392</v>
      </c>
      <c r="H17" s="116" t="s">
        <v>96</v>
      </c>
      <c r="I17" s="193"/>
      <c r="J17" s="458" t="str">
        <f>'Moors League'!D20</f>
        <v>1.51.98</v>
      </c>
      <c r="K17" s="53">
        <f>'Moors League'!E20</f>
        <v>4</v>
      </c>
      <c r="L17" s="56"/>
      <c r="N17" s="102" t="str">
        <f>_xlfn.IFNA((VLOOKUP(L17,'DQ Lookup'!$A$2:$B$59,2,FALSE)),"")</f>
        <v/>
      </c>
      <c r="O17" s="127"/>
      <c r="P17" s="107">
        <f>6.59-6.66</f>
        <v>-7.0000000000000284E-2</v>
      </c>
    </row>
    <row r="18" spans="1:16" s="32" customFormat="1" ht="21.75" customHeight="1" x14ac:dyDescent="0.2">
      <c r="A18" s="51">
        <v>13</v>
      </c>
      <c r="B18" s="36" t="s">
        <v>80</v>
      </c>
      <c r="C18" s="152" t="s">
        <v>184</v>
      </c>
      <c r="D18" s="367" t="s">
        <v>375</v>
      </c>
      <c r="E18" s="181"/>
      <c r="F18" s="365"/>
      <c r="G18" s="411" t="s">
        <v>393</v>
      </c>
      <c r="H18" s="335"/>
      <c r="I18" s="193"/>
      <c r="J18" s="69"/>
      <c r="K18" s="50"/>
      <c r="L18" s="56"/>
      <c r="N18" s="102" t="str">
        <f>_xlfn.IFNA((VLOOKUP(L18,'DQ Lookup'!$A$2:$B$59,2,FALSE)),"")</f>
        <v/>
      </c>
      <c r="O18" s="127"/>
      <c r="P18" s="107"/>
    </row>
    <row r="19" spans="1:16" s="32" customFormat="1" ht="21.75" customHeight="1" x14ac:dyDescent="0.2">
      <c r="A19" s="51"/>
      <c r="B19" s="36"/>
      <c r="C19" s="152"/>
      <c r="D19" s="367" t="s">
        <v>376</v>
      </c>
      <c r="E19" s="181"/>
      <c r="F19" s="365"/>
      <c r="G19" s="411" t="s">
        <v>365</v>
      </c>
      <c r="H19" s="335"/>
      <c r="I19" s="193"/>
      <c r="J19" s="64" t="str">
        <f>'Moors League'!D21</f>
        <v>2.23.28</v>
      </c>
      <c r="K19" s="53">
        <f>'Moors League'!E21</f>
        <v>4</v>
      </c>
      <c r="L19" s="56"/>
      <c r="N19" s="102" t="str">
        <f>_xlfn.IFNA((VLOOKUP(L19,'DQ Lookup'!$A$2:$B$59,2,FALSE)),"")</f>
        <v/>
      </c>
      <c r="O19" s="127"/>
      <c r="P19" s="107"/>
    </row>
    <row r="20" spans="1:16" s="32" customFormat="1" ht="21.75" customHeight="1" x14ac:dyDescent="0.2">
      <c r="A20" s="51">
        <v>14</v>
      </c>
      <c r="B20" s="36" t="s">
        <v>82</v>
      </c>
      <c r="C20" s="152" t="s">
        <v>184</v>
      </c>
      <c r="D20" s="367" t="s">
        <v>370</v>
      </c>
      <c r="E20" s="120"/>
      <c r="F20" s="194"/>
      <c r="G20" s="412" t="s">
        <v>366</v>
      </c>
      <c r="H20" s="335"/>
      <c r="I20" s="193"/>
      <c r="J20" s="69"/>
      <c r="K20" s="50"/>
      <c r="L20" s="56"/>
      <c r="N20" s="102" t="str">
        <f>_xlfn.IFNA((VLOOKUP(L20,'DQ Lookup'!$A$2:$B$59,2,FALSE)),"")</f>
        <v/>
      </c>
      <c r="O20" s="127"/>
      <c r="P20" s="107"/>
    </row>
    <row r="21" spans="1:16" s="32" customFormat="1" ht="21.75" customHeight="1" x14ac:dyDescent="0.2">
      <c r="A21" s="51"/>
      <c r="B21" s="85"/>
      <c r="C21" s="152"/>
      <c r="D21" s="367" t="s">
        <v>377</v>
      </c>
      <c r="E21" s="121"/>
      <c r="F21" s="372"/>
      <c r="G21" s="413" t="s">
        <v>380</v>
      </c>
      <c r="H21" s="335"/>
      <c r="I21" s="193"/>
      <c r="J21" s="64" t="str">
        <f>'Moors League'!D22</f>
        <v>2.24.66</v>
      </c>
      <c r="K21" s="53">
        <f>'Moors League'!E22</f>
        <v>4</v>
      </c>
      <c r="L21" s="56"/>
      <c r="N21" s="102" t="str">
        <f>_xlfn.IFNA((VLOOKUP(L21,'DQ Lookup'!$A$2:$B$59,2,FALSE)),"")</f>
        <v/>
      </c>
      <c r="O21" s="127"/>
      <c r="P21" s="107"/>
    </row>
    <row r="22" spans="1:16" s="32" customFormat="1" ht="21.75" customHeight="1" x14ac:dyDescent="0.2">
      <c r="A22" s="84">
        <v>15</v>
      </c>
      <c r="B22" s="89" t="s">
        <v>89</v>
      </c>
      <c r="C22" s="152" t="s">
        <v>97</v>
      </c>
      <c r="D22" s="367" t="s">
        <v>367</v>
      </c>
      <c r="E22" s="119"/>
      <c r="F22" s="95">
        <f>'Moors League'!D23</f>
        <v>39.99</v>
      </c>
      <c r="G22" s="94"/>
      <c r="H22" s="46"/>
      <c r="I22" s="47"/>
      <c r="J22" s="57"/>
      <c r="K22" s="53">
        <f>'Moors League'!E23</f>
        <v>4</v>
      </c>
      <c r="L22" s="56"/>
      <c r="N22" s="102" t="str">
        <f>_xlfn.IFNA((VLOOKUP(L22,'DQ Lookup'!$A$2:$B$59,2,FALSE)),"")</f>
        <v/>
      </c>
      <c r="O22" s="127"/>
      <c r="P22" s="107">
        <f t="shared" ref="P22:P31" si="1">O22-F22</f>
        <v>-39.99</v>
      </c>
    </row>
    <row r="23" spans="1:16" s="32" customFormat="1" ht="21.75" customHeight="1" x14ac:dyDescent="0.2">
      <c r="A23" s="84">
        <v>16</v>
      </c>
      <c r="B23" s="89" t="s">
        <v>91</v>
      </c>
      <c r="C23" s="152" t="s">
        <v>97</v>
      </c>
      <c r="D23" s="367" t="s">
        <v>378</v>
      </c>
      <c r="E23" s="181"/>
      <c r="F23" s="95">
        <f>'Moors League'!D24</f>
        <v>42.4</v>
      </c>
      <c r="G23" s="94"/>
      <c r="H23" s="46"/>
      <c r="I23" s="47"/>
      <c r="J23" s="57"/>
      <c r="K23" s="53">
        <f>'Moors League'!E24</f>
        <v>4</v>
      </c>
      <c r="L23" s="56"/>
      <c r="N23" s="102" t="str">
        <f>_xlfn.IFNA((VLOOKUP(L23,'DQ Lookup'!$A$2:$B$59,2,FALSE)),"")</f>
        <v/>
      </c>
      <c r="O23" s="127"/>
      <c r="P23" s="107">
        <f t="shared" si="1"/>
        <v>-42.4</v>
      </c>
    </row>
    <row r="24" spans="1:16" s="32" customFormat="1" ht="21.75" customHeight="1" x14ac:dyDescent="0.2">
      <c r="A24" s="84">
        <v>17</v>
      </c>
      <c r="B24" s="89" t="s">
        <v>86</v>
      </c>
      <c r="C24" s="152" t="s">
        <v>98</v>
      </c>
      <c r="D24" s="367" t="s">
        <v>369</v>
      </c>
      <c r="E24" s="181"/>
      <c r="F24" s="95">
        <f>'Moors League'!D25</f>
        <v>20.97</v>
      </c>
      <c r="G24" s="94"/>
      <c r="H24" s="46"/>
      <c r="I24" s="47"/>
      <c r="J24" s="57"/>
      <c r="K24" s="53">
        <f>'Moors League'!E25</f>
        <v>3</v>
      </c>
      <c r="L24" s="56"/>
      <c r="N24" s="102" t="str">
        <f>_xlfn.IFNA((VLOOKUP(L24,'DQ Lookup'!$A$2:$B$59,2,FALSE)),"")</f>
        <v/>
      </c>
      <c r="O24" s="127"/>
      <c r="P24" s="107">
        <f t="shared" si="1"/>
        <v>-20.97</v>
      </c>
    </row>
    <row r="25" spans="1:16" s="32" customFormat="1" ht="21.75" customHeight="1" x14ac:dyDescent="0.2">
      <c r="A25" s="84">
        <v>18</v>
      </c>
      <c r="B25" s="89" t="s">
        <v>88</v>
      </c>
      <c r="C25" s="88" t="s">
        <v>98</v>
      </c>
      <c r="D25" s="367" t="s">
        <v>370</v>
      </c>
      <c r="E25" s="181"/>
      <c r="F25" s="95">
        <f>'Moors League'!D26</f>
        <v>19.600000000000001</v>
      </c>
      <c r="G25" s="94"/>
      <c r="H25" s="46"/>
      <c r="I25" s="47"/>
      <c r="J25" s="57"/>
      <c r="K25" s="53">
        <f>'Moors League'!E26</f>
        <v>4</v>
      </c>
      <c r="L25" s="56"/>
      <c r="N25" s="102" t="str">
        <f>_xlfn.IFNA((VLOOKUP(L25,'DQ Lookup'!$A$2:$B$59,2,FALSE)),"")</f>
        <v/>
      </c>
      <c r="O25" s="127"/>
      <c r="P25" s="107">
        <f t="shared" si="1"/>
        <v>-19.600000000000001</v>
      </c>
    </row>
    <row r="26" spans="1:16" s="32" customFormat="1" ht="21.75" customHeight="1" x14ac:dyDescent="0.2">
      <c r="A26" s="84">
        <v>19</v>
      </c>
      <c r="B26" s="89" t="s">
        <v>83</v>
      </c>
      <c r="C26" s="63" t="s">
        <v>100</v>
      </c>
      <c r="D26" s="367" t="s">
        <v>367</v>
      </c>
      <c r="E26" s="181"/>
      <c r="F26" s="95">
        <f>'Moors League'!D27</f>
        <v>31.96</v>
      </c>
      <c r="G26" s="94"/>
      <c r="H26" s="46"/>
      <c r="I26" s="47"/>
      <c r="J26" s="57"/>
      <c r="K26" s="53">
        <f>'Moors League'!E27</f>
        <v>4</v>
      </c>
      <c r="L26" s="56"/>
      <c r="N26" s="102" t="str">
        <f>_xlfn.IFNA((VLOOKUP(L26,'DQ Lookup'!$A$2:$B$59,2,FALSE)),"")</f>
        <v/>
      </c>
      <c r="O26" s="127"/>
      <c r="P26" s="107">
        <f t="shared" si="1"/>
        <v>-31.96</v>
      </c>
    </row>
    <row r="27" spans="1:16" s="32" customFormat="1" ht="21.75" customHeight="1" x14ac:dyDescent="0.2">
      <c r="A27" s="84">
        <v>20</v>
      </c>
      <c r="B27" s="89" t="s">
        <v>85</v>
      </c>
      <c r="C27" s="63" t="s">
        <v>100</v>
      </c>
      <c r="D27" s="367" t="s">
        <v>379</v>
      </c>
      <c r="E27" s="181"/>
      <c r="F27" s="95">
        <f>'Moors League'!D28</f>
        <v>33.729999999999997</v>
      </c>
      <c r="G27" s="94"/>
      <c r="H27" s="46"/>
      <c r="I27" s="47"/>
      <c r="J27" s="57"/>
      <c r="K27" s="53">
        <f>'Moors League'!E28</f>
        <v>1</v>
      </c>
      <c r="L27" s="56"/>
      <c r="N27" s="102" t="str">
        <f>_xlfn.IFNA((VLOOKUP(L27,'DQ Lookup'!$A$2:$B$59,2,FALSE)),"")</f>
        <v/>
      </c>
      <c r="O27" s="127"/>
      <c r="P27" s="107">
        <f t="shared" si="1"/>
        <v>-33.729999999999997</v>
      </c>
    </row>
    <row r="28" spans="1:16" s="32" customFormat="1" ht="21.75" customHeight="1" x14ac:dyDescent="0.2">
      <c r="A28" s="84">
        <v>21</v>
      </c>
      <c r="B28" s="89" t="s">
        <v>80</v>
      </c>
      <c r="C28" s="63" t="s">
        <v>101</v>
      </c>
      <c r="D28" s="367" t="s">
        <v>365</v>
      </c>
      <c r="E28" s="119"/>
      <c r="F28" s="95">
        <f>'Moors League'!D29</f>
        <v>33.94</v>
      </c>
      <c r="G28" s="94"/>
      <c r="H28" s="46"/>
      <c r="I28" s="47"/>
      <c r="J28" s="57"/>
      <c r="K28" s="53">
        <f>'Moors League'!E29</f>
        <v>3</v>
      </c>
      <c r="L28" s="56"/>
      <c r="N28" s="102" t="str">
        <f>_xlfn.IFNA((VLOOKUP(L28,'DQ Lookup'!$A$2:$B$59,2,FALSE)),"")</f>
        <v/>
      </c>
      <c r="O28" s="127"/>
      <c r="P28" s="107">
        <f t="shared" si="1"/>
        <v>-33.94</v>
      </c>
    </row>
    <row r="29" spans="1:16" s="32" customFormat="1" ht="21.75" customHeight="1" x14ac:dyDescent="0.2">
      <c r="A29" s="84">
        <v>22</v>
      </c>
      <c r="B29" s="89" t="s">
        <v>82</v>
      </c>
      <c r="C29" s="63" t="s">
        <v>101</v>
      </c>
      <c r="D29" s="367" t="s">
        <v>380</v>
      </c>
      <c r="E29" s="119"/>
      <c r="F29" s="95">
        <f>'Moors League'!D30</f>
        <v>32.72</v>
      </c>
      <c r="G29" s="103"/>
      <c r="H29" s="46"/>
      <c r="I29" s="47"/>
      <c r="J29" s="57"/>
      <c r="K29" s="53">
        <f>'Moors League'!E30</f>
        <v>3</v>
      </c>
      <c r="L29" s="56"/>
      <c r="N29" s="102" t="str">
        <f>_xlfn.IFNA((VLOOKUP(L29,'DQ Lookup'!$A$2:$B$59,2,FALSE)),"")</f>
        <v/>
      </c>
      <c r="O29" s="127"/>
      <c r="P29" s="107">
        <f t="shared" si="1"/>
        <v>-32.72</v>
      </c>
    </row>
    <row r="30" spans="1:16" s="32" customFormat="1" ht="21.75" customHeight="1" x14ac:dyDescent="0.2">
      <c r="A30" s="84">
        <v>23</v>
      </c>
      <c r="B30" s="89" t="s">
        <v>77</v>
      </c>
      <c r="C30" s="63" t="s">
        <v>97</v>
      </c>
      <c r="D30" s="367" t="s">
        <v>381</v>
      </c>
      <c r="E30" s="181"/>
      <c r="F30" s="95">
        <f>'Moors League'!D31</f>
        <v>35.33</v>
      </c>
      <c r="G30" s="94"/>
      <c r="H30" s="46"/>
      <c r="I30" s="47"/>
      <c r="J30" s="57"/>
      <c r="K30" s="53">
        <f>'Moors League'!E31</f>
        <v>4</v>
      </c>
      <c r="L30" s="56"/>
      <c r="N30" s="102" t="str">
        <f>_xlfn.IFNA((VLOOKUP(L30,'DQ Lookup'!$A$2:$B$59,2,FALSE)),"")</f>
        <v/>
      </c>
      <c r="O30" s="127"/>
      <c r="P30" s="107">
        <f t="shared" si="1"/>
        <v>-35.33</v>
      </c>
    </row>
    <row r="31" spans="1:16" s="32" customFormat="1" ht="21.75" customHeight="1" x14ac:dyDescent="0.2">
      <c r="A31" s="84">
        <v>24</v>
      </c>
      <c r="B31" s="89" t="s">
        <v>79</v>
      </c>
      <c r="C31" s="63" t="s">
        <v>97</v>
      </c>
      <c r="D31" s="367" t="s">
        <v>382</v>
      </c>
      <c r="E31" s="181"/>
      <c r="F31" s="95">
        <f>'Moors League'!D32</f>
        <v>30.54</v>
      </c>
      <c r="G31" s="94"/>
      <c r="H31" s="46"/>
      <c r="I31" s="47"/>
      <c r="J31" s="57"/>
      <c r="K31" s="53">
        <f>'Moors League'!E32</f>
        <v>4</v>
      </c>
      <c r="L31" s="83"/>
      <c r="N31" s="102"/>
      <c r="O31" s="127"/>
      <c r="P31" s="107">
        <f t="shared" si="1"/>
        <v>-30.54</v>
      </c>
    </row>
    <row r="32" spans="1:16" s="32" customFormat="1" ht="21.75" customHeight="1" x14ac:dyDescent="0.2">
      <c r="A32" s="84">
        <v>25</v>
      </c>
      <c r="B32" s="89" t="s">
        <v>89</v>
      </c>
      <c r="C32" s="63" t="s">
        <v>183</v>
      </c>
      <c r="D32" s="367" t="s">
        <v>383</v>
      </c>
      <c r="E32" s="65" t="s">
        <v>93</v>
      </c>
      <c r="F32" s="365"/>
      <c r="G32" s="414" t="s">
        <v>367</v>
      </c>
      <c r="H32" s="92" t="s">
        <v>94</v>
      </c>
      <c r="I32" s="193"/>
      <c r="J32" s="54"/>
      <c r="K32" s="50"/>
      <c r="L32" s="56"/>
      <c r="N32" s="102" t="str">
        <f>_xlfn.IFNA((VLOOKUP(L32,'DQ Lookup'!$A$2:$B$59,2,FALSE)),"")</f>
        <v/>
      </c>
      <c r="O32" s="127"/>
      <c r="P32" s="107"/>
    </row>
    <row r="33" spans="1:16" s="32" customFormat="1" ht="21.75" customHeight="1" x14ac:dyDescent="0.2">
      <c r="A33" s="51"/>
      <c r="B33" s="87"/>
      <c r="C33" s="63"/>
      <c r="D33" s="367" t="s">
        <v>371</v>
      </c>
      <c r="E33" s="65" t="s">
        <v>95</v>
      </c>
      <c r="F33" s="369"/>
      <c r="G33" s="415" t="s">
        <v>388</v>
      </c>
      <c r="H33" s="92" t="s">
        <v>96</v>
      </c>
      <c r="I33" s="193"/>
      <c r="J33" s="64" t="str">
        <f>'Moors League'!D33</f>
        <v>2.24.86</v>
      </c>
      <c r="K33" s="53">
        <f>'Moors League'!E33</f>
        <v>4</v>
      </c>
      <c r="L33" s="56"/>
      <c r="N33" s="102" t="str">
        <f>_xlfn.IFNA((VLOOKUP(L33,'DQ Lookup'!$A$2:$B$59,2,FALSE)),"")</f>
        <v/>
      </c>
      <c r="O33" s="127"/>
      <c r="P33" s="107"/>
    </row>
    <row r="34" spans="1:16" s="32" customFormat="1" ht="21.75" customHeight="1" x14ac:dyDescent="0.2">
      <c r="A34" s="51">
        <v>26</v>
      </c>
      <c r="B34" s="36" t="s">
        <v>91</v>
      </c>
      <c r="C34" s="63" t="s">
        <v>183</v>
      </c>
      <c r="D34" s="367" t="s">
        <v>380</v>
      </c>
      <c r="E34" s="65" t="s">
        <v>93</v>
      </c>
      <c r="F34" s="369"/>
      <c r="G34" s="411" t="s">
        <v>366</v>
      </c>
      <c r="H34" s="92" t="s">
        <v>94</v>
      </c>
      <c r="I34" s="193"/>
      <c r="J34" s="54"/>
      <c r="K34" s="50"/>
      <c r="L34" s="56"/>
      <c r="N34" s="102" t="str">
        <f>_xlfn.IFNA((VLOOKUP(L34,'DQ Lookup'!$A$2:$B$59,2,FALSE)),"")</f>
        <v/>
      </c>
      <c r="O34" s="127"/>
      <c r="P34" s="107"/>
    </row>
    <row r="35" spans="1:16" s="32" customFormat="1" ht="21.75" customHeight="1" x14ac:dyDescent="0.2">
      <c r="A35" s="51"/>
      <c r="B35" s="36"/>
      <c r="C35" s="63"/>
      <c r="D35" s="367" t="s">
        <v>372</v>
      </c>
      <c r="E35" s="65" t="s">
        <v>95</v>
      </c>
      <c r="F35" s="365"/>
      <c r="G35" s="411" t="s">
        <v>378</v>
      </c>
      <c r="H35" s="92" t="s">
        <v>96</v>
      </c>
      <c r="I35" s="193"/>
      <c r="J35" s="64" t="str">
        <f>'Moors League'!D34</f>
        <v>2.35.43</v>
      </c>
      <c r="K35" s="53">
        <f>'Moors League'!E34</f>
        <v>4</v>
      </c>
      <c r="L35" s="56"/>
      <c r="N35" s="102" t="str">
        <f>_xlfn.IFNA((VLOOKUP(L35,'DQ Lookup'!$A$2:$B$59,2,FALSE)),"")</f>
        <v/>
      </c>
      <c r="O35" s="127"/>
      <c r="P35" s="107">
        <f>1.53-1.48</f>
        <v>5.0000000000000044E-2</v>
      </c>
    </row>
    <row r="36" spans="1:16" s="32" customFormat="1" ht="21.75" customHeight="1" x14ac:dyDescent="0.2">
      <c r="A36" s="51">
        <v>27</v>
      </c>
      <c r="B36" s="36" t="s">
        <v>102</v>
      </c>
      <c r="C36" s="63" t="s">
        <v>112</v>
      </c>
      <c r="D36" s="367" t="s">
        <v>384</v>
      </c>
      <c r="E36" s="119"/>
      <c r="F36" s="365"/>
      <c r="G36" s="416" t="s">
        <v>394</v>
      </c>
      <c r="H36" s="92"/>
      <c r="I36" s="193"/>
      <c r="J36" s="56"/>
      <c r="K36" s="50"/>
      <c r="L36" s="56"/>
      <c r="N36" s="102" t="str">
        <f>_xlfn.IFNA((VLOOKUP(L36,'DQ Lookup'!$A$2:$B$59,2,FALSE)),"")</f>
        <v/>
      </c>
      <c r="O36" s="127"/>
      <c r="P36" s="107"/>
    </row>
    <row r="37" spans="1:16" s="32" customFormat="1" ht="21.75" customHeight="1" x14ac:dyDescent="0.2">
      <c r="A37" s="51"/>
      <c r="B37" s="36"/>
      <c r="C37" s="63"/>
      <c r="D37" s="367" t="s">
        <v>369</v>
      </c>
      <c r="E37" s="181"/>
      <c r="F37" s="365"/>
      <c r="G37" s="411" t="s">
        <v>568</v>
      </c>
      <c r="H37" s="92"/>
      <c r="I37" s="193"/>
      <c r="J37" s="64" t="str">
        <f>'Moors League'!D35</f>
        <v>1.23.64</v>
      </c>
      <c r="K37" s="53">
        <f>'Moors League'!E35</f>
        <v>3</v>
      </c>
      <c r="L37" s="56"/>
      <c r="N37" s="102" t="str">
        <f>_xlfn.IFNA((VLOOKUP(L37,'DQ Lookup'!$A$2:$B$59,2,FALSE)),"")</f>
        <v/>
      </c>
      <c r="O37" s="127"/>
      <c r="P37" s="107">
        <f>8.32-8.63</f>
        <v>-0.3100000000000005</v>
      </c>
    </row>
    <row r="38" spans="1:16" s="32" customFormat="1" ht="21.75" customHeight="1" x14ac:dyDescent="0.2">
      <c r="A38" s="51">
        <v>28</v>
      </c>
      <c r="B38" s="36" t="s">
        <v>103</v>
      </c>
      <c r="C38" s="63" t="s">
        <v>112</v>
      </c>
      <c r="D38" s="367" t="s">
        <v>385</v>
      </c>
      <c r="E38" s="181"/>
      <c r="F38" s="365"/>
      <c r="G38" s="411" t="s">
        <v>390</v>
      </c>
      <c r="H38" s="92"/>
      <c r="I38" s="193"/>
      <c r="J38" s="56"/>
      <c r="K38" s="50"/>
      <c r="L38" s="56"/>
      <c r="N38" s="102" t="str">
        <f>_xlfn.IFNA((VLOOKUP(L38,'DQ Lookup'!$A$2:$B$59,2,FALSE)),"")</f>
        <v/>
      </c>
      <c r="O38" s="127"/>
      <c r="P38" s="107"/>
    </row>
    <row r="39" spans="1:16" s="32" customFormat="1" ht="21.75" customHeight="1" x14ac:dyDescent="0.2">
      <c r="A39" s="51"/>
      <c r="B39" s="36"/>
      <c r="C39" s="63"/>
      <c r="D39" s="367" t="s">
        <v>370</v>
      </c>
      <c r="E39" s="181"/>
      <c r="F39" s="365"/>
      <c r="G39" s="411" t="s">
        <v>395</v>
      </c>
      <c r="H39" s="92"/>
      <c r="I39" s="193"/>
      <c r="J39" s="64" t="str">
        <f>'Moors League'!D36</f>
        <v>DSQ</v>
      </c>
      <c r="K39" s="53">
        <f>'Moors League'!E36</f>
        <v>0</v>
      </c>
      <c r="L39" s="56">
        <v>10.119999999999999</v>
      </c>
      <c r="M39" s="32" t="s">
        <v>501</v>
      </c>
      <c r="N39" s="102" t="str">
        <f>_xlfn.IFNA((VLOOKUP(L39,'DQ Lookup'!$A$2:$B$59,2,FALSE)),"")</f>
        <v>Feet lost touch with starting platform before preceding team-mate touched the wall</v>
      </c>
      <c r="O39" s="127"/>
      <c r="P39" s="107">
        <f>6.37-6.61</f>
        <v>-0.24000000000000021</v>
      </c>
    </row>
    <row r="40" spans="1:16" s="32" customFormat="1" ht="21.75" customHeight="1" x14ac:dyDescent="0.2">
      <c r="A40" s="51">
        <v>29</v>
      </c>
      <c r="B40" s="36" t="s">
        <v>83</v>
      </c>
      <c r="C40" s="63" t="s">
        <v>183</v>
      </c>
      <c r="D40" s="367" t="s">
        <v>569</v>
      </c>
      <c r="E40" s="65" t="s">
        <v>93</v>
      </c>
      <c r="F40" s="365"/>
      <c r="G40" s="411" t="s">
        <v>367</v>
      </c>
      <c r="H40" s="92" t="s">
        <v>94</v>
      </c>
      <c r="I40" s="193"/>
      <c r="J40" s="57"/>
      <c r="K40" s="50"/>
      <c r="L40" s="56"/>
      <c r="N40" s="102" t="str">
        <f>_xlfn.IFNA((VLOOKUP(L40,'DQ Lookup'!$A$2:$B$59,2,FALSE)),"")</f>
        <v/>
      </c>
      <c r="O40" s="127"/>
      <c r="P40" s="107"/>
    </row>
    <row r="41" spans="1:16" s="32" customFormat="1" ht="21.75" customHeight="1" x14ac:dyDescent="0.2">
      <c r="A41" s="51"/>
      <c r="B41" s="36"/>
      <c r="C41" s="63"/>
      <c r="D41" s="367" t="s">
        <v>371</v>
      </c>
      <c r="E41" s="65" t="s">
        <v>95</v>
      </c>
      <c r="F41" s="365"/>
      <c r="G41" s="411" t="s">
        <v>391</v>
      </c>
      <c r="H41" s="92" t="s">
        <v>96</v>
      </c>
      <c r="I41" s="193"/>
      <c r="J41" s="64" t="str">
        <f>'Moors League'!D37</f>
        <v>2.24.12</v>
      </c>
      <c r="K41" s="53">
        <f>'Moors League'!E37</f>
        <v>4</v>
      </c>
      <c r="L41" s="56"/>
      <c r="N41" s="102" t="str">
        <f>_xlfn.IFNA((VLOOKUP(L41,'DQ Lookup'!$A$2:$B$59,2,FALSE)),"")</f>
        <v/>
      </c>
      <c r="O41" s="127"/>
      <c r="P41" s="107">
        <f>3.13-3.11</f>
        <v>2.0000000000000018E-2</v>
      </c>
    </row>
    <row r="42" spans="1:16" s="32" customFormat="1" ht="21.75" customHeight="1" x14ac:dyDescent="0.2">
      <c r="A42" s="51">
        <v>30</v>
      </c>
      <c r="B42" s="36" t="s">
        <v>104</v>
      </c>
      <c r="C42" s="63" t="s">
        <v>183</v>
      </c>
      <c r="D42" s="367" t="s">
        <v>386</v>
      </c>
      <c r="E42" s="65" t="s">
        <v>93</v>
      </c>
      <c r="F42" s="365"/>
      <c r="G42" s="414" t="s">
        <v>368</v>
      </c>
      <c r="H42" s="92" t="s">
        <v>94</v>
      </c>
      <c r="I42" s="193"/>
      <c r="J42" s="69"/>
      <c r="K42" s="50"/>
      <c r="L42" s="56"/>
      <c r="N42" s="102" t="str">
        <f>_xlfn.IFNA((VLOOKUP(L42,'DQ Lookup'!$A$2:$B$59,2,FALSE)),"")</f>
        <v/>
      </c>
      <c r="O42" s="127"/>
      <c r="P42" s="107"/>
    </row>
    <row r="43" spans="1:16" s="32" customFormat="1" ht="21.75" customHeight="1" x14ac:dyDescent="0.2">
      <c r="A43" s="51"/>
      <c r="B43" s="36"/>
      <c r="C43" s="63"/>
      <c r="D43" s="367" t="s">
        <v>379</v>
      </c>
      <c r="E43" s="65" t="s">
        <v>95</v>
      </c>
      <c r="F43" s="368"/>
      <c r="G43" s="417" t="s">
        <v>396</v>
      </c>
      <c r="H43" s="92" t="s">
        <v>96</v>
      </c>
      <c r="I43" s="193"/>
      <c r="J43" s="64" t="str">
        <f>'Moors League'!D38</f>
        <v>2.27.54</v>
      </c>
      <c r="K43" s="53">
        <f>'Moors League'!E38</f>
        <v>1</v>
      </c>
      <c r="L43" s="56"/>
      <c r="N43" s="102" t="str">
        <f>_xlfn.IFNA((VLOOKUP(L43,'DQ Lookup'!$A$2:$B$59,2,FALSE)),"")</f>
        <v/>
      </c>
      <c r="O43" s="127"/>
      <c r="P43" s="107">
        <f>5.22-5.25</f>
        <v>-3.0000000000000249E-2</v>
      </c>
    </row>
    <row r="44" spans="1:16" s="37" customFormat="1" ht="21.75" customHeight="1" x14ac:dyDescent="0.25">
      <c r="A44" s="51">
        <v>31</v>
      </c>
      <c r="B44" s="63" t="s">
        <v>77</v>
      </c>
      <c r="C44" s="63" t="s">
        <v>81</v>
      </c>
      <c r="D44" s="367" t="s">
        <v>373</v>
      </c>
      <c r="E44" s="181"/>
      <c r="F44" s="95">
        <f>'Moors League'!D39</f>
        <v>32.08</v>
      </c>
      <c r="G44" s="419"/>
      <c r="H44" s="48"/>
      <c r="I44" s="47"/>
      <c r="J44" s="56"/>
      <c r="K44" s="53">
        <f>'Moors League'!E39</f>
        <v>4</v>
      </c>
      <c r="L44" s="56"/>
      <c r="N44" s="102" t="str">
        <f>_xlfn.IFNA((VLOOKUP(L44,'DQ Lookup'!$A$2:$B$59,2,FALSE)),"")</f>
        <v/>
      </c>
      <c r="O44" s="38"/>
      <c r="P44" s="107">
        <f>O44-F44</f>
        <v>-32.08</v>
      </c>
    </row>
    <row r="45" spans="1:16" s="37" customFormat="1" ht="21.75" customHeight="1" x14ac:dyDescent="0.25">
      <c r="A45" s="51">
        <v>32</v>
      </c>
      <c r="B45" s="63" t="s">
        <v>79</v>
      </c>
      <c r="C45" s="63" t="s">
        <v>81</v>
      </c>
      <c r="D45" s="367" t="s">
        <v>374</v>
      </c>
      <c r="E45" s="181"/>
      <c r="F45" s="95">
        <f>'Moors League'!D40</f>
        <v>27.57</v>
      </c>
      <c r="G45" s="420"/>
      <c r="H45" s="48"/>
      <c r="I45" s="47"/>
      <c r="J45" s="56"/>
      <c r="K45" s="53">
        <f>'Moors League'!E40</f>
        <v>4</v>
      </c>
      <c r="L45" s="56"/>
      <c r="N45" s="102" t="str">
        <f>_xlfn.IFNA((VLOOKUP(L45,'DQ Lookup'!$A$2:$B$59,2,FALSE)),"")</f>
        <v/>
      </c>
      <c r="O45" s="38"/>
      <c r="P45" s="107">
        <f t="shared" ref="P45:P53" si="2">O45-F45</f>
        <v>-27.57</v>
      </c>
    </row>
    <row r="46" spans="1:16" s="37" customFormat="1" ht="21.75" customHeight="1" x14ac:dyDescent="0.25">
      <c r="A46" s="51">
        <v>33</v>
      </c>
      <c r="B46" s="63" t="s">
        <v>80</v>
      </c>
      <c r="C46" s="63" t="s">
        <v>105</v>
      </c>
      <c r="D46" s="367" t="s">
        <v>376</v>
      </c>
      <c r="E46" s="181"/>
      <c r="F46" s="95">
        <f>'Moors League'!D41</f>
        <v>40.590000000000003</v>
      </c>
      <c r="G46" s="420"/>
      <c r="H46" s="48"/>
      <c r="I46" s="47"/>
      <c r="J46" s="56"/>
      <c r="K46" s="53">
        <f>'Moors League'!E41</f>
        <v>2</v>
      </c>
      <c r="L46" s="56"/>
      <c r="N46" s="102" t="str">
        <f>_xlfn.IFNA((VLOOKUP(L46,'DQ Lookup'!$A$2:$B$59,2,FALSE)),"")</f>
        <v/>
      </c>
      <c r="O46" s="38"/>
      <c r="P46" s="107">
        <f t="shared" si="2"/>
        <v>-40.590000000000003</v>
      </c>
    </row>
    <row r="47" spans="1:16" s="37" customFormat="1" ht="21.75" customHeight="1" x14ac:dyDescent="0.25">
      <c r="A47" s="51">
        <v>34</v>
      </c>
      <c r="B47" s="63" t="s">
        <v>82</v>
      </c>
      <c r="C47" s="63" t="s">
        <v>105</v>
      </c>
      <c r="D47" s="367" t="s">
        <v>380</v>
      </c>
      <c r="E47" s="181"/>
      <c r="F47" s="95">
        <f>'Moors League'!D42</f>
        <v>38.56</v>
      </c>
      <c r="G47" s="420"/>
      <c r="H47" s="48"/>
      <c r="I47" s="47"/>
      <c r="J47" s="56"/>
      <c r="K47" s="53">
        <f>'Moors League'!E42</f>
        <v>3</v>
      </c>
      <c r="L47" s="56"/>
      <c r="N47" s="102" t="str">
        <f>_xlfn.IFNA((VLOOKUP(L47,'DQ Lookup'!$A$2:$B$59,2,FALSE)),"")</f>
        <v/>
      </c>
      <c r="O47" s="38"/>
      <c r="P47" s="107">
        <f t="shared" si="2"/>
        <v>-38.56</v>
      </c>
    </row>
    <row r="48" spans="1:16" s="37" customFormat="1" ht="21.75" customHeight="1" x14ac:dyDescent="0.25">
      <c r="A48" s="51">
        <v>35</v>
      </c>
      <c r="B48" s="63" t="s">
        <v>83</v>
      </c>
      <c r="C48" s="63" t="s">
        <v>106</v>
      </c>
      <c r="D48" s="367" t="s">
        <v>367</v>
      </c>
      <c r="E48" s="119"/>
      <c r="F48" s="95">
        <f>'Moors League'!D43</f>
        <v>30.2</v>
      </c>
      <c r="G48" s="420"/>
      <c r="H48" s="48"/>
      <c r="I48" s="47"/>
      <c r="J48" s="56"/>
      <c r="K48" s="53">
        <f>'Moors League'!E43</f>
        <v>3</v>
      </c>
      <c r="L48" s="56"/>
      <c r="N48" s="102" t="str">
        <f>_xlfn.IFNA((VLOOKUP(L48,'DQ Lookup'!$A$2:$B$59,2,FALSE)),"")</f>
        <v/>
      </c>
      <c r="O48" s="38"/>
      <c r="P48" s="107">
        <f t="shared" si="2"/>
        <v>-30.2</v>
      </c>
    </row>
    <row r="49" spans="1:16" s="37" customFormat="1" ht="21.75" customHeight="1" x14ac:dyDescent="0.25">
      <c r="A49" s="51">
        <v>36</v>
      </c>
      <c r="B49" s="63" t="s">
        <v>85</v>
      </c>
      <c r="C49" s="63" t="s">
        <v>106</v>
      </c>
      <c r="D49" s="367" t="s">
        <v>386</v>
      </c>
      <c r="E49" s="181"/>
      <c r="F49" s="95">
        <f>'Moors League'!D44</f>
        <v>29.38</v>
      </c>
      <c r="G49" s="420"/>
      <c r="H49" s="48"/>
      <c r="I49" s="47"/>
      <c r="J49" s="56"/>
      <c r="K49" s="53">
        <f>'Moors League'!E44</f>
        <v>2</v>
      </c>
      <c r="L49" s="56"/>
      <c r="N49" s="102" t="str">
        <f>_xlfn.IFNA((VLOOKUP(L49,'DQ Lookup'!$A$2:$B$59,2,FALSE)),"")</f>
        <v/>
      </c>
      <c r="O49" s="38"/>
      <c r="P49" s="107">
        <f t="shared" si="2"/>
        <v>-29.38</v>
      </c>
    </row>
    <row r="50" spans="1:16" s="37" customFormat="1" ht="21.75" customHeight="1" x14ac:dyDescent="0.25">
      <c r="A50" s="51">
        <v>37</v>
      </c>
      <c r="B50" s="63" t="s">
        <v>86</v>
      </c>
      <c r="C50" s="63" t="s">
        <v>107</v>
      </c>
      <c r="D50" s="367" t="s">
        <v>384</v>
      </c>
      <c r="E50" s="181"/>
      <c r="F50" s="95">
        <f>'Moors League'!D45</f>
        <v>24.22</v>
      </c>
      <c r="G50" s="420"/>
      <c r="H50" s="48"/>
      <c r="I50" s="47"/>
      <c r="J50" s="56"/>
      <c r="K50" s="53">
        <f>'Moors League'!E45</f>
        <v>4</v>
      </c>
      <c r="L50" s="56"/>
      <c r="N50" s="102" t="str">
        <f>_xlfn.IFNA((VLOOKUP(L50,'DQ Lookup'!$A$2:$B$59,2,FALSE)),"")</f>
        <v/>
      </c>
      <c r="O50" s="38"/>
      <c r="P50" s="107">
        <f t="shared" si="2"/>
        <v>-24.22</v>
      </c>
    </row>
    <row r="51" spans="1:16" s="37" customFormat="1" ht="21.75" customHeight="1" x14ac:dyDescent="0.25">
      <c r="A51" s="51">
        <v>38</v>
      </c>
      <c r="B51" s="63" t="s">
        <v>88</v>
      </c>
      <c r="C51" s="63" t="s">
        <v>107</v>
      </c>
      <c r="D51" s="367" t="s">
        <v>370</v>
      </c>
      <c r="E51" s="119"/>
      <c r="F51" s="95">
        <f>'Moors League'!D46</f>
        <v>21.92</v>
      </c>
      <c r="G51" s="420"/>
      <c r="H51" s="48"/>
      <c r="I51" s="47"/>
      <c r="J51" s="56"/>
      <c r="K51" s="53">
        <f>'Moors League'!E46</f>
        <v>4</v>
      </c>
      <c r="L51" s="56"/>
      <c r="N51" s="102" t="str">
        <f>_xlfn.IFNA((VLOOKUP(L51,'DQ Lookup'!$A$2:$B$59,2,FALSE)),"")</f>
        <v/>
      </c>
      <c r="O51" s="38"/>
      <c r="P51" s="107">
        <f t="shared" si="2"/>
        <v>-21.92</v>
      </c>
    </row>
    <row r="52" spans="1:16" s="37" customFormat="1" ht="21.75" customHeight="1" x14ac:dyDescent="0.25">
      <c r="A52" s="51">
        <v>39</v>
      </c>
      <c r="B52" s="63" t="s">
        <v>89</v>
      </c>
      <c r="C52" s="63" t="s">
        <v>81</v>
      </c>
      <c r="D52" s="367" t="s">
        <v>371</v>
      </c>
      <c r="E52" s="119"/>
      <c r="F52" s="95">
        <f>'Moors League'!D47</f>
        <v>31.77</v>
      </c>
      <c r="G52" s="420"/>
      <c r="H52" s="48"/>
      <c r="I52" s="47"/>
      <c r="J52" s="56"/>
      <c r="K52" s="53">
        <f>'Moors League'!E47</f>
        <v>4</v>
      </c>
      <c r="L52" s="56"/>
      <c r="N52" s="102" t="str">
        <f>_xlfn.IFNA((VLOOKUP(L52,'DQ Lookup'!$A$2:$B$59,2,FALSE)),"")</f>
        <v/>
      </c>
      <c r="O52" s="38"/>
      <c r="P52" s="107">
        <f t="shared" si="2"/>
        <v>-31.77</v>
      </c>
    </row>
    <row r="53" spans="1:16" s="37" customFormat="1" ht="21.75" customHeight="1" x14ac:dyDescent="0.25">
      <c r="A53" s="51">
        <v>40</v>
      </c>
      <c r="B53" s="63" t="s">
        <v>91</v>
      </c>
      <c r="C53" s="63" t="s">
        <v>81</v>
      </c>
      <c r="D53" s="367" t="s">
        <v>372</v>
      </c>
      <c r="E53" s="181"/>
      <c r="F53" s="95">
        <f>'Moors League'!D48</f>
        <v>36.51</v>
      </c>
      <c r="G53" s="420"/>
      <c r="H53" s="48"/>
      <c r="I53" s="47"/>
      <c r="J53" s="56"/>
      <c r="K53" s="53">
        <f>'Moors League'!E48</f>
        <v>3</v>
      </c>
      <c r="L53" s="56"/>
      <c r="N53" s="102" t="str">
        <f>_xlfn.IFNA((VLOOKUP(L53,'DQ Lookup'!$A$2:$B$59,2,FALSE)),"")</f>
        <v/>
      </c>
      <c r="O53" s="38"/>
      <c r="P53" s="107">
        <f t="shared" si="2"/>
        <v>-36.51</v>
      </c>
    </row>
    <row r="54" spans="1:16" s="37" customFormat="1" ht="21.75" customHeight="1" x14ac:dyDescent="0.25">
      <c r="A54" s="51">
        <v>41</v>
      </c>
      <c r="B54" s="36" t="s">
        <v>77</v>
      </c>
      <c r="C54" s="63" t="s">
        <v>186</v>
      </c>
      <c r="D54" s="367" t="s">
        <v>363</v>
      </c>
      <c r="E54" s="181"/>
      <c r="F54" s="364"/>
      <c r="G54" s="415" t="s">
        <v>373</v>
      </c>
      <c r="H54" s="98"/>
      <c r="I54" s="193"/>
      <c r="J54" s="56"/>
      <c r="K54" s="50"/>
      <c r="L54" s="56"/>
      <c r="N54" s="102" t="str">
        <f>_xlfn.IFNA((VLOOKUP(L54,'DQ Lookup'!$A$2:$B$59,2,FALSE)),"")</f>
        <v/>
      </c>
      <c r="O54" s="38"/>
      <c r="P54" s="107"/>
    </row>
    <row r="55" spans="1:16" s="37" customFormat="1" ht="21.75" customHeight="1" x14ac:dyDescent="0.25">
      <c r="A55" s="51"/>
      <c r="B55" s="36"/>
      <c r="C55" s="63"/>
      <c r="D55" s="367" t="s">
        <v>387</v>
      </c>
      <c r="E55" s="121"/>
      <c r="F55" s="365"/>
      <c r="G55" s="413" t="s">
        <v>381</v>
      </c>
      <c r="H55" s="98"/>
      <c r="I55" s="193"/>
      <c r="J55" s="64" t="str">
        <f>'Moors League'!D49</f>
        <v>1.59.72</v>
      </c>
      <c r="K55" s="53">
        <f>'Moors League'!E49</f>
        <v>4</v>
      </c>
      <c r="L55" s="56"/>
      <c r="N55" s="102" t="str">
        <f>_xlfn.IFNA((VLOOKUP(L55,'DQ Lookup'!$A$2:$B$59,2,FALSE)),"")</f>
        <v/>
      </c>
      <c r="O55" s="38"/>
      <c r="P55" s="107">
        <f>3.69-3.76</f>
        <v>-6.999999999999984E-2</v>
      </c>
    </row>
    <row r="56" spans="1:16" s="37" customFormat="1" ht="21.75" customHeight="1" x14ac:dyDescent="0.25">
      <c r="A56" s="51">
        <v>42</v>
      </c>
      <c r="B56" s="36" t="s">
        <v>79</v>
      </c>
      <c r="C56" s="63" t="s">
        <v>186</v>
      </c>
      <c r="D56" s="367" t="s">
        <v>364</v>
      </c>
      <c r="E56" s="181"/>
      <c r="F56" s="365"/>
      <c r="G56" s="411" t="s">
        <v>392</v>
      </c>
      <c r="H56" s="98"/>
      <c r="I56" s="193"/>
      <c r="J56" s="54"/>
      <c r="K56" s="50"/>
      <c r="L56" s="56"/>
      <c r="N56" s="102" t="str">
        <f>_xlfn.IFNA((VLOOKUP(L56,'DQ Lookup'!$A$2:$B$59,2,FALSE)),"")</f>
        <v/>
      </c>
      <c r="O56" s="38"/>
      <c r="P56" s="107"/>
    </row>
    <row r="57" spans="1:16" s="37" customFormat="1" ht="21.75" customHeight="1" x14ac:dyDescent="0.25">
      <c r="A57" s="51"/>
      <c r="B57" s="36"/>
      <c r="C57" s="63"/>
      <c r="D57" s="370" t="s">
        <v>382</v>
      </c>
      <c r="E57" s="181"/>
      <c r="F57" s="365"/>
      <c r="G57" s="411" t="s">
        <v>374</v>
      </c>
      <c r="H57" s="98"/>
      <c r="I57" s="193"/>
      <c r="J57" s="64" t="str">
        <f>'Moors League'!D50</f>
        <v>1.43.03</v>
      </c>
      <c r="K57" s="53">
        <f>'Moors League'!E50</f>
        <v>4</v>
      </c>
      <c r="L57" s="56"/>
      <c r="N57" s="102" t="str">
        <f>_xlfn.IFNA((VLOOKUP(L57,'DQ Lookup'!$A$2:$B$59,2,FALSE)),"")</f>
        <v/>
      </c>
      <c r="O57" s="38"/>
      <c r="P57" s="107">
        <f>5.3-5.05</f>
        <v>0.25</v>
      </c>
    </row>
    <row r="58" spans="1:16" s="37" customFormat="1" ht="26.25" customHeight="1" x14ac:dyDescent="0.25">
      <c r="A58" s="51">
        <v>43</v>
      </c>
      <c r="B58" s="36" t="s">
        <v>80</v>
      </c>
      <c r="C58" s="63" t="s">
        <v>183</v>
      </c>
      <c r="D58" s="367" t="s">
        <v>376</v>
      </c>
      <c r="E58" s="80" t="s">
        <v>93</v>
      </c>
      <c r="F58" s="365"/>
      <c r="G58" s="411" t="s">
        <v>375</v>
      </c>
      <c r="H58" s="98" t="s">
        <v>94</v>
      </c>
      <c r="I58" s="193"/>
      <c r="J58" s="478"/>
      <c r="K58" s="478"/>
      <c r="L58" s="56"/>
      <c r="N58" s="102" t="str">
        <f>_xlfn.IFNA((VLOOKUP(L58,'DQ Lookup'!$A$2:$B$59,2,FALSE)),"")</f>
        <v/>
      </c>
      <c r="O58" s="38"/>
      <c r="P58" s="107"/>
    </row>
    <row r="59" spans="1:16" s="37" customFormat="1" ht="21.75" customHeight="1" x14ac:dyDescent="0.25">
      <c r="A59" s="51"/>
      <c r="B59" s="36"/>
      <c r="C59" s="63"/>
      <c r="D59" s="367" t="s">
        <v>365</v>
      </c>
      <c r="E59" s="80" t="s">
        <v>95</v>
      </c>
      <c r="F59" s="365"/>
      <c r="G59" s="411" t="s">
        <v>393</v>
      </c>
      <c r="H59" s="98" t="s">
        <v>96</v>
      </c>
      <c r="I59" s="193"/>
      <c r="J59" s="64" t="str">
        <f>'Moors League'!D51</f>
        <v>2.44.93</v>
      </c>
      <c r="K59" s="53">
        <f>'Moors League'!E51</f>
        <v>4</v>
      </c>
      <c r="L59" s="83"/>
      <c r="M59" s="196"/>
      <c r="N59" s="102" t="str">
        <f>_xlfn.IFNA((VLOOKUP(L59,'DQ Lookup'!$A$2:$B$59,2,FALSE)),"")</f>
        <v/>
      </c>
      <c r="O59" s="38"/>
      <c r="P59" s="107">
        <f>6.09-6.31</f>
        <v>-0.21999999999999975</v>
      </c>
    </row>
    <row r="60" spans="1:16" s="37" customFormat="1" ht="21.75" customHeight="1" x14ac:dyDescent="0.25">
      <c r="A60" s="51">
        <v>44</v>
      </c>
      <c r="B60" s="36" t="s">
        <v>82</v>
      </c>
      <c r="C60" s="63" t="s">
        <v>183</v>
      </c>
      <c r="D60" s="367" t="s">
        <v>380</v>
      </c>
      <c r="E60" s="80" t="s">
        <v>93</v>
      </c>
      <c r="F60" s="365"/>
      <c r="G60" s="412" t="s">
        <v>370</v>
      </c>
      <c r="H60" s="98" t="s">
        <v>94</v>
      </c>
      <c r="I60" s="193"/>
      <c r="J60" s="70"/>
      <c r="K60" s="50"/>
      <c r="L60" s="56"/>
      <c r="N60" s="102" t="str">
        <f>_xlfn.IFNA((VLOOKUP(L60,'DQ Lookup'!$A$2:$B$59,2,FALSE)),"")</f>
        <v/>
      </c>
      <c r="O60" s="38"/>
      <c r="P60" s="107"/>
    </row>
    <row r="61" spans="1:16" s="37" customFormat="1" ht="30.75" customHeight="1" x14ac:dyDescent="0.25">
      <c r="A61" s="51"/>
      <c r="B61" s="36"/>
      <c r="C61" s="63"/>
      <c r="D61" s="367" t="s">
        <v>366</v>
      </c>
      <c r="E61" s="80" t="s">
        <v>95</v>
      </c>
      <c r="F61" s="368"/>
      <c r="G61" s="412" t="s">
        <v>377</v>
      </c>
      <c r="H61" s="98" t="s">
        <v>96</v>
      </c>
      <c r="I61" s="193"/>
      <c r="J61" s="64" t="str">
        <f>'Moors League'!D52</f>
        <v>2.48.34</v>
      </c>
      <c r="K61" s="53">
        <f>'Moors League'!E52</f>
        <v>3</v>
      </c>
      <c r="L61" s="56"/>
      <c r="N61" s="102" t="str">
        <f>_xlfn.IFNA((VLOOKUP(L61,'DQ Lookup'!$A$2:$B$59,2,FALSE)),"")</f>
        <v/>
      </c>
      <c r="O61" s="38"/>
      <c r="P61" s="107">
        <f>0.88-0.96</f>
        <v>-7.999999999999996E-2</v>
      </c>
    </row>
    <row r="62" spans="1:16" s="37" customFormat="1" ht="21.75" customHeight="1" x14ac:dyDescent="0.25">
      <c r="A62" s="51">
        <v>45</v>
      </c>
      <c r="B62" s="36" t="s">
        <v>89</v>
      </c>
      <c r="C62" s="63" t="s">
        <v>108</v>
      </c>
      <c r="D62" s="367" t="s">
        <v>371</v>
      </c>
      <c r="E62" s="119"/>
      <c r="F62" s="95">
        <f>'Moors League'!D53</f>
        <v>30.33</v>
      </c>
      <c r="G62" s="363"/>
      <c r="H62" s="66"/>
      <c r="I62" s="68"/>
      <c r="J62" s="67"/>
      <c r="K62" s="53">
        <f>'Moors League'!E53</f>
        <v>4</v>
      </c>
      <c r="L62" s="56"/>
      <c r="N62" s="102" t="str">
        <f>_xlfn.IFNA((VLOOKUP(L62,'DQ Lookup'!$A$2:$B$59,2,FALSE)),"")</f>
        <v/>
      </c>
      <c r="O62" s="38"/>
      <c r="P62" s="107">
        <f t="shared" ref="P62:P71" si="3">O62-F62</f>
        <v>-30.33</v>
      </c>
    </row>
    <row r="63" spans="1:16" s="37" customFormat="1" ht="21.75" customHeight="1" x14ac:dyDescent="0.25">
      <c r="A63" s="51">
        <v>46</v>
      </c>
      <c r="B63" s="36" t="s">
        <v>91</v>
      </c>
      <c r="C63" s="63" t="s">
        <v>108</v>
      </c>
      <c r="D63" s="367" t="s">
        <v>380</v>
      </c>
      <c r="E63" s="181"/>
      <c r="F63" s="95">
        <f>'Moors League'!D54</f>
        <v>34.39</v>
      </c>
      <c r="G63" s="363"/>
      <c r="H63" s="66"/>
      <c r="I63" s="68"/>
      <c r="J63" s="67"/>
      <c r="K63" s="53">
        <f>'Moors League'!E54</f>
        <v>2</v>
      </c>
      <c r="L63" s="56"/>
      <c r="N63" s="102" t="str">
        <f>_xlfn.IFNA((VLOOKUP(L63,'DQ Lookup'!$A$2:$B$59,2,FALSE)),"")</f>
        <v/>
      </c>
      <c r="O63" s="38"/>
      <c r="P63" s="107">
        <f t="shared" si="3"/>
        <v>-34.39</v>
      </c>
    </row>
    <row r="64" spans="1:16" s="37" customFormat="1" ht="21.75" customHeight="1" x14ac:dyDescent="0.25">
      <c r="A64" s="51">
        <v>47</v>
      </c>
      <c r="B64" s="36" t="s">
        <v>86</v>
      </c>
      <c r="C64" s="63" t="s">
        <v>109</v>
      </c>
      <c r="D64" s="367" t="s">
        <v>369</v>
      </c>
      <c r="E64" s="181"/>
      <c r="F64" s="95">
        <f>'Moors League'!D55</f>
        <v>20</v>
      </c>
      <c r="G64" s="363"/>
      <c r="H64" s="48"/>
      <c r="I64" s="47"/>
      <c r="J64" s="56"/>
      <c r="K64" s="53">
        <f>'Moors League'!E55</f>
        <v>3</v>
      </c>
      <c r="L64" s="56"/>
      <c r="N64" s="102" t="str">
        <f>_xlfn.IFNA((VLOOKUP(L64,'DQ Lookup'!$A$2:$B$59,2,FALSE)),"")</f>
        <v/>
      </c>
      <c r="O64" s="38"/>
      <c r="P64" s="107">
        <v>0</v>
      </c>
    </row>
    <row r="65" spans="1:16" s="37" customFormat="1" ht="21.75" customHeight="1" x14ac:dyDescent="0.25">
      <c r="A65" s="51">
        <v>48</v>
      </c>
      <c r="B65" s="36" t="s">
        <v>88</v>
      </c>
      <c r="C65" s="63" t="s">
        <v>109</v>
      </c>
      <c r="D65" s="367" t="s">
        <v>385</v>
      </c>
      <c r="E65" s="119"/>
      <c r="F65" s="95">
        <f>'Moors League'!D56</f>
        <v>19.899999999999999</v>
      </c>
      <c r="G65" s="363"/>
      <c r="H65" s="48"/>
      <c r="I65" s="47"/>
      <c r="J65" s="56"/>
      <c r="K65" s="53">
        <f>'Moors League'!E56</f>
        <v>3</v>
      </c>
      <c r="L65" s="56"/>
      <c r="N65" s="102" t="str">
        <f>_xlfn.IFNA((VLOOKUP(L65,'DQ Lookup'!$A$2:$B$59,2,FALSE)),"")</f>
        <v/>
      </c>
      <c r="O65" s="38"/>
      <c r="P65" s="107">
        <v>0</v>
      </c>
    </row>
    <row r="66" spans="1:16" s="37" customFormat="1" ht="21.75" customHeight="1" x14ac:dyDescent="0.25">
      <c r="A66" s="51">
        <v>49</v>
      </c>
      <c r="B66" s="36" t="s">
        <v>83</v>
      </c>
      <c r="C66" s="63" t="s">
        <v>110</v>
      </c>
      <c r="D66" s="367" t="s">
        <v>383</v>
      </c>
      <c r="E66" s="181"/>
      <c r="F66" s="95">
        <f>'Moors League'!D57</f>
        <v>38.549999999999997</v>
      </c>
      <c r="G66" s="363"/>
      <c r="H66" s="48"/>
      <c r="I66" s="47"/>
      <c r="J66" s="56"/>
      <c r="K66" s="53">
        <f>'Moors League'!E57</f>
        <v>2</v>
      </c>
      <c r="L66" s="56"/>
      <c r="N66" s="102" t="str">
        <f>_xlfn.IFNA((VLOOKUP(L66,'DQ Lookup'!$A$2:$B$59,2,FALSE)),"")</f>
        <v/>
      </c>
      <c r="O66" s="38"/>
      <c r="P66" s="107">
        <f t="shared" si="3"/>
        <v>-38.549999999999997</v>
      </c>
    </row>
    <row r="67" spans="1:16" s="37" customFormat="1" ht="21.75" customHeight="1" x14ac:dyDescent="0.25">
      <c r="A67" s="51">
        <v>50</v>
      </c>
      <c r="B67" s="36" t="s">
        <v>85</v>
      </c>
      <c r="C67" s="63" t="s">
        <v>110</v>
      </c>
      <c r="D67" s="367" t="s">
        <v>386</v>
      </c>
      <c r="E67" s="181"/>
      <c r="F67" s="95">
        <f>'Moors League'!D58</f>
        <v>34.33</v>
      </c>
      <c r="G67" s="363"/>
      <c r="H67" s="48"/>
      <c r="I67" s="47"/>
      <c r="J67" s="56"/>
      <c r="K67" s="53">
        <f>'Moors League'!E58</f>
        <v>2</v>
      </c>
      <c r="L67" s="56"/>
      <c r="N67" s="102" t="str">
        <f>_xlfn.IFNA((VLOOKUP(L67,'DQ Lookup'!$A$2:$B$59,2,FALSE)),"")</f>
        <v/>
      </c>
      <c r="O67" s="38"/>
      <c r="P67" s="107">
        <f t="shared" si="3"/>
        <v>-34.33</v>
      </c>
    </row>
    <row r="68" spans="1:16" s="37" customFormat="1" ht="21.75" customHeight="1" x14ac:dyDescent="0.25">
      <c r="A68" s="51">
        <v>51</v>
      </c>
      <c r="B68" s="36" t="s">
        <v>80</v>
      </c>
      <c r="C68" s="63" t="s">
        <v>97</v>
      </c>
      <c r="D68" s="367" t="s">
        <v>376</v>
      </c>
      <c r="E68" s="181"/>
      <c r="F68" s="95">
        <f>'Moors League'!D59</f>
        <v>46.83</v>
      </c>
      <c r="G68" s="363"/>
      <c r="H68" s="48"/>
      <c r="I68" s="47"/>
      <c r="J68" s="56"/>
      <c r="K68" s="53">
        <f>'Moors League'!E59</f>
        <v>4</v>
      </c>
      <c r="L68" s="56"/>
      <c r="N68" s="102" t="str">
        <f>_xlfn.IFNA((VLOOKUP(L68,'DQ Lookup'!$A$2:$B$59,2,FALSE)),"")</f>
        <v/>
      </c>
      <c r="O68" s="38"/>
      <c r="P68" s="107">
        <f t="shared" si="3"/>
        <v>-46.83</v>
      </c>
    </row>
    <row r="69" spans="1:16" s="37" customFormat="1" ht="21.75" customHeight="1" x14ac:dyDescent="0.25">
      <c r="A69" s="51">
        <v>52</v>
      </c>
      <c r="B69" s="36" t="s">
        <v>82</v>
      </c>
      <c r="C69" s="63" t="s">
        <v>97</v>
      </c>
      <c r="D69" s="367" t="s">
        <v>366</v>
      </c>
      <c r="E69" s="181"/>
      <c r="F69" s="95">
        <f>'Moors League'!D60</f>
        <v>42.88</v>
      </c>
      <c r="G69" s="363"/>
      <c r="H69" s="48"/>
      <c r="I69" s="47"/>
      <c r="J69" s="56"/>
      <c r="K69" s="53">
        <f>'Moors League'!E60</f>
        <v>3</v>
      </c>
      <c r="L69" s="56"/>
      <c r="N69" s="102"/>
      <c r="O69" s="38"/>
      <c r="P69" s="107">
        <f t="shared" si="3"/>
        <v>-42.88</v>
      </c>
    </row>
    <row r="70" spans="1:16" s="37" customFormat="1" ht="21.75" customHeight="1" x14ac:dyDescent="0.25">
      <c r="A70" s="51">
        <v>53</v>
      </c>
      <c r="B70" s="36" t="s">
        <v>77</v>
      </c>
      <c r="C70" s="63" t="s">
        <v>101</v>
      </c>
      <c r="D70" s="367" t="s">
        <v>381</v>
      </c>
      <c r="E70" s="181"/>
      <c r="F70" s="95">
        <f>'Moors League'!D61</f>
        <v>29.24</v>
      </c>
      <c r="G70" s="363"/>
      <c r="H70" s="48"/>
      <c r="I70" s="47"/>
      <c r="J70" s="56"/>
      <c r="K70" s="53">
        <f>'Moors League'!E61</f>
        <v>4</v>
      </c>
      <c r="L70" s="56"/>
      <c r="N70" s="102" t="str">
        <f>_xlfn.IFNA((VLOOKUP(L70,'DQ Lookup'!$A$2:$B$59,2,FALSE)),"")</f>
        <v/>
      </c>
      <c r="O70" s="38"/>
      <c r="P70" s="107">
        <f t="shared" si="3"/>
        <v>-29.24</v>
      </c>
    </row>
    <row r="71" spans="1:16" s="37" customFormat="1" ht="21.75" customHeight="1" x14ac:dyDescent="0.25">
      <c r="A71" s="51">
        <v>54</v>
      </c>
      <c r="B71" s="36" t="s">
        <v>79</v>
      </c>
      <c r="C71" s="63" t="s">
        <v>101</v>
      </c>
      <c r="D71" s="367" t="s">
        <v>364</v>
      </c>
      <c r="E71" s="181"/>
      <c r="F71" s="95">
        <f>'Moors League'!D62</f>
        <v>25.82</v>
      </c>
      <c r="G71" s="363"/>
      <c r="H71" s="48"/>
      <c r="I71" s="47"/>
      <c r="J71" s="56"/>
      <c r="K71" s="53">
        <f>'Moors League'!E62</f>
        <v>4</v>
      </c>
      <c r="L71" s="56"/>
      <c r="N71" s="102" t="str">
        <f>_xlfn.IFNA((VLOOKUP(L71,'DQ Lookup'!$A$2:$B$59,2,FALSE)),"")</f>
        <v/>
      </c>
      <c r="O71" s="38"/>
      <c r="P71" s="107">
        <f t="shared" si="3"/>
        <v>-25.82</v>
      </c>
    </row>
    <row r="72" spans="1:16" s="37" customFormat="1" ht="21.75" customHeight="1" x14ac:dyDescent="0.25">
      <c r="A72" s="51">
        <v>55</v>
      </c>
      <c r="B72" s="36" t="s">
        <v>89</v>
      </c>
      <c r="C72" s="63" t="s">
        <v>186</v>
      </c>
      <c r="D72" s="367" t="s">
        <v>367</v>
      </c>
      <c r="E72" s="181"/>
      <c r="F72" s="364"/>
      <c r="G72" s="417" t="s">
        <v>383</v>
      </c>
      <c r="H72" s="98"/>
      <c r="I72" s="193"/>
      <c r="J72" s="68"/>
      <c r="K72" s="68"/>
      <c r="L72" s="56"/>
      <c r="N72" s="102" t="str">
        <f>_xlfn.IFNA((VLOOKUP(L72,'DQ Lookup'!$A$2:$B$59,2,FALSE)),"")</f>
        <v/>
      </c>
      <c r="O72" s="38"/>
      <c r="P72" s="107"/>
    </row>
    <row r="73" spans="1:16" s="37" customFormat="1" ht="21.75" customHeight="1" x14ac:dyDescent="0.25">
      <c r="A73" s="51"/>
      <c r="B73" s="36"/>
      <c r="C73" s="63"/>
      <c r="D73" s="367" t="s">
        <v>388</v>
      </c>
      <c r="E73" s="181"/>
      <c r="F73" s="365"/>
      <c r="G73" s="411" t="s">
        <v>371</v>
      </c>
      <c r="H73" s="98"/>
      <c r="I73" s="193"/>
      <c r="J73" s="64" t="str">
        <f>'Moors League'!D63</f>
        <v>2.08.63</v>
      </c>
      <c r="K73" s="53">
        <f>'Moors League'!E63</f>
        <v>4</v>
      </c>
      <c r="L73" s="56"/>
      <c r="N73" s="102" t="str">
        <f>_xlfn.IFNA((VLOOKUP(L73,'DQ Lookup'!$A$2:$B$59,2,FALSE)),"")</f>
        <v/>
      </c>
      <c r="O73" s="38"/>
      <c r="P73" s="107">
        <f>1.16-1.27</f>
        <v>-0.1100000000000001</v>
      </c>
    </row>
    <row r="74" spans="1:16" s="37" customFormat="1" ht="21.75" customHeight="1" x14ac:dyDescent="0.25">
      <c r="A74" s="51">
        <v>56</v>
      </c>
      <c r="B74" s="36" t="s">
        <v>91</v>
      </c>
      <c r="C74" s="63" t="s">
        <v>186</v>
      </c>
      <c r="D74" s="367" t="s">
        <v>372</v>
      </c>
      <c r="E74" s="375"/>
      <c r="F74" s="365"/>
      <c r="G74" s="416" t="s">
        <v>366</v>
      </c>
      <c r="H74" s="98"/>
      <c r="I74" s="193"/>
      <c r="J74" s="72"/>
      <c r="K74" s="50"/>
      <c r="L74" s="56"/>
      <c r="N74" s="102" t="str">
        <f>_xlfn.IFNA((VLOOKUP(L74,'DQ Lookup'!$A$2:$B$59,2,FALSE)),"")</f>
        <v/>
      </c>
      <c r="O74" s="38"/>
      <c r="P74" s="107"/>
    </row>
    <row r="75" spans="1:16" s="37" customFormat="1" ht="21.75" customHeight="1" x14ac:dyDescent="0.25">
      <c r="A75" s="51"/>
      <c r="B75" s="36"/>
      <c r="C75" s="63"/>
      <c r="D75" s="367" t="s">
        <v>378</v>
      </c>
      <c r="E75" s="375"/>
      <c r="F75" s="365"/>
      <c r="G75" s="411" t="s">
        <v>380</v>
      </c>
      <c r="H75" s="98"/>
      <c r="I75" s="193"/>
      <c r="J75" s="64" t="str">
        <f>'Moors League'!D64</f>
        <v>2.19.23</v>
      </c>
      <c r="K75" s="53">
        <f>'Moors League'!E64</f>
        <v>4</v>
      </c>
      <c r="L75" s="56"/>
      <c r="N75" s="102" t="str">
        <f>_xlfn.IFNA((VLOOKUP(L75,'DQ Lookup'!$A$2:$B$59,2,FALSE)),"")</f>
        <v/>
      </c>
      <c r="O75" s="38"/>
      <c r="P75" s="107">
        <f>8.19-8.5</f>
        <v>-0.3100000000000005</v>
      </c>
    </row>
    <row r="76" spans="1:16" s="37" customFormat="1" ht="21.75" customHeight="1" x14ac:dyDescent="0.25">
      <c r="A76" s="51">
        <v>57</v>
      </c>
      <c r="B76" s="36" t="s">
        <v>102</v>
      </c>
      <c r="C76" s="63" t="s">
        <v>92</v>
      </c>
      <c r="D76" s="367" t="s">
        <v>389</v>
      </c>
      <c r="E76" s="188" t="s">
        <v>93</v>
      </c>
      <c r="F76" s="365"/>
      <c r="G76" s="411" t="s">
        <v>384</v>
      </c>
      <c r="H76" s="98" t="s">
        <v>94</v>
      </c>
      <c r="I76" s="193"/>
      <c r="J76" s="90"/>
      <c r="K76" s="50"/>
      <c r="L76" s="56"/>
      <c r="N76" s="102" t="str">
        <f>_xlfn.IFNA((VLOOKUP(L76,'DQ Lookup'!$A$2:$B$59,2,FALSE)),"")</f>
        <v/>
      </c>
      <c r="O76" s="38"/>
      <c r="P76" s="107"/>
    </row>
    <row r="77" spans="1:16" s="37" customFormat="1" ht="43.5" customHeight="1" x14ac:dyDescent="0.25">
      <c r="A77" s="51"/>
      <c r="B77" s="63"/>
      <c r="C77" s="152"/>
      <c r="D77" s="367" t="s">
        <v>369</v>
      </c>
      <c r="E77" s="188" t="s">
        <v>95</v>
      </c>
      <c r="F77" s="365"/>
      <c r="G77" s="411" t="s">
        <v>394</v>
      </c>
      <c r="H77" s="98" t="s">
        <v>96</v>
      </c>
      <c r="I77" s="193"/>
      <c r="J77" s="64" t="str">
        <f>'Moors League'!D65</f>
        <v>DSQ</v>
      </c>
      <c r="K77" s="53">
        <f>'Moors League'!E65</f>
        <v>0</v>
      </c>
      <c r="L77" s="83">
        <v>10.119999999999999</v>
      </c>
      <c r="M77" s="101" t="s">
        <v>561</v>
      </c>
      <c r="N77" s="102" t="str">
        <f>_xlfn.IFNA((VLOOKUP(L77,'DQ Lookup'!$A$2:$B$59,2,FALSE)),"")</f>
        <v>Feet lost touch with starting platform before preceding team-mate touched the wall</v>
      </c>
      <c r="O77" s="38"/>
      <c r="P77" s="107"/>
    </row>
    <row r="78" spans="1:16" s="37" customFormat="1" ht="21.75" customHeight="1" x14ac:dyDescent="0.25">
      <c r="A78" s="51">
        <v>58</v>
      </c>
      <c r="B78" s="36" t="s">
        <v>103</v>
      </c>
      <c r="C78" s="63" t="s">
        <v>92</v>
      </c>
      <c r="D78" s="367" t="s">
        <v>390</v>
      </c>
      <c r="E78" s="188" t="s">
        <v>93</v>
      </c>
      <c r="F78" s="365"/>
      <c r="G78" s="411" t="s">
        <v>370</v>
      </c>
      <c r="H78" s="98" t="s">
        <v>94</v>
      </c>
      <c r="I78" s="193"/>
      <c r="J78" s="70"/>
      <c r="K78" s="50"/>
      <c r="L78" s="56"/>
      <c r="N78" s="102" t="str">
        <f>_xlfn.IFNA((VLOOKUP(L78,'DQ Lookup'!$A$2:$B$59,2,FALSE)),"")</f>
        <v/>
      </c>
      <c r="O78" s="38"/>
      <c r="P78" s="107"/>
    </row>
    <row r="79" spans="1:16" s="37" customFormat="1" ht="21.75" customHeight="1" x14ac:dyDescent="0.25">
      <c r="A79" s="51"/>
      <c r="B79" s="36"/>
      <c r="C79" s="63"/>
      <c r="D79" s="367" t="s">
        <v>385</v>
      </c>
      <c r="E79" s="188" t="s">
        <v>95</v>
      </c>
      <c r="F79" s="365"/>
      <c r="G79" s="411" t="s">
        <v>395</v>
      </c>
      <c r="H79" s="98" t="s">
        <v>96</v>
      </c>
      <c r="I79" s="193"/>
      <c r="J79" s="64" t="str">
        <f>'Moors League'!D66</f>
        <v>1.30.94</v>
      </c>
      <c r="K79" s="53">
        <f>'Moors League'!E66</f>
        <v>4</v>
      </c>
      <c r="L79" s="56"/>
      <c r="N79" s="102" t="str">
        <f>_xlfn.IFNA((VLOOKUP(L79,'DQ Lookup'!$A$2:$B$59,2,FALSE)),"")</f>
        <v/>
      </c>
      <c r="O79" s="38"/>
      <c r="P79" s="107">
        <v>0.01</v>
      </c>
    </row>
    <row r="80" spans="1:16" s="37" customFormat="1" ht="21.75" customHeight="1" x14ac:dyDescent="0.25">
      <c r="A80" s="51">
        <v>59</v>
      </c>
      <c r="B80" s="36" t="s">
        <v>111</v>
      </c>
      <c r="C80" s="63" t="s">
        <v>186</v>
      </c>
      <c r="D80" s="367" t="s">
        <v>367</v>
      </c>
      <c r="E80" s="375"/>
      <c r="F80" s="365"/>
      <c r="G80" s="411" t="s">
        <v>383</v>
      </c>
      <c r="H80" s="98"/>
      <c r="I80" s="193"/>
      <c r="J80" s="62"/>
      <c r="K80" s="50"/>
      <c r="L80" s="56"/>
      <c r="N80" s="102" t="str">
        <f>_xlfn.IFNA((VLOOKUP(L80,'DQ Lookup'!$A$2:$B$59,2,FALSE)),"")</f>
        <v/>
      </c>
      <c r="O80" s="38"/>
      <c r="P80" s="107"/>
    </row>
    <row r="81" spans="1:16" s="37" customFormat="1" ht="21.75" customHeight="1" x14ac:dyDescent="0.25">
      <c r="A81" s="51"/>
      <c r="B81" s="36"/>
      <c r="C81" s="63"/>
      <c r="D81" s="367" t="s">
        <v>391</v>
      </c>
      <c r="E81" s="374"/>
      <c r="F81" s="365"/>
      <c r="G81" s="411" t="s">
        <v>371</v>
      </c>
      <c r="H81" s="98"/>
      <c r="I81" s="193"/>
      <c r="J81" s="64" t="str">
        <f>'Moors League'!D67</f>
        <v>2.07.95</v>
      </c>
      <c r="K81" s="53">
        <f>'Moors League'!E67</f>
        <v>4</v>
      </c>
      <c r="L81" s="56"/>
      <c r="N81" s="102" t="str">
        <f>_xlfn.IFNA((VLOOKUP(L81,'DQ Lookup'!$A$2:$B$59,2,FALSE)),"")</f>
        <v/>
      </c>
      <c r="O81" s="38"/>
      <c r="P81" s="107">
        <f>5.63-5.74</f>
        <v>-0.11000000000000032</v>
      </c>
    </row>
    <row r="82" spans="1:16" s="37" customFormat="1" ht="21.75" customHeight="1" x14ac:dyDescent="0.25">
      <c r="A82" s="51">
        <v>60</v>
      </c>
      <c r="B82" s="36" t="s">
        <v>104</v>
      </c>
      <c r="C82" s="63" t="s">
        <v>186</v>
      </c>
      <c r="D82" s="367" t="s">
        <v>368</v>
      </c>
      <c r="E82" s="374"/>
      <c r="F82" s="365"/>
      <c r="G82" s="411" t="s">
        <v>396</v>
      </c>
      <c r="H82" s="98"/>
      <c r="I82" s="193"/>
      <c r="J82" s="62"/>
      <c r="K82" s="50"/>
      <c r="L82" s="56"/>
      <c r="N82" s="102" t="str">
        <f>_xlfn.IFNA((VLOOKUP(L82,'DQ Lookup'!$A$2:$B$59,2,FALSE)),"")</f>
        <v/>
      </c>
      <c r="O82" s="38"/>
      <c r="P82" s="107"/>
    </row>
    <row r="83" spans="1:16" s="37" customFormat="1" ht="21.75" customHeight="1" x14ac:dyDescent="0.25">
      <c r="A83" s="51"/>
      <c r="B83" s="36"/>
      <c r="C83" s="63"/>
      <c r="D83" s="367" t="s">
        <v>379</v>
      </c>
      <c r="E83" s="375"/>
      <c r="F83" s="365"/>
      <c r="G83" s="411" t="s">
        <v>386</v>
      </c>
      <c r="H83" s="98"/>
      <c r="I83" s="193"/>
      <c r="J83" s="64" t="str">
        <f>'Moors League'!D68</f>
        <v>2.13.95</v>
      </c>
      <c r="K83" s="53">
        <f>'Moors League'!E68</f>
        <v>1</v>
      </c>
      <c r="L83" s="56"/>
      <c r="N83" s="102" t="str">
        <f>_xlfn.IFNA((VLOOKUP(L83,'DQ Lookup'!$A$2:$B$59,2,FALSE)),"")</f>
        <v/>
      </c>
      <c r="O83" s="38"/>
      <c r="P83" s="107">
        <f>4.37-4.38</f>
        <v>-9.9999999999997868E-3</v>
      </c>
    </row>
    <row r="84" spans="1:16" s="37" customFormat="1" ht="21.75" customHeight="1" x14ac:dyDescent="0.25">
      <c r="A84" s="51">
        <v>61</v>
      </c>
      <c r="B84" s="36" t="s">
        <v>113</v>
      </c>
      <c r="C84" s="63" t="s">
        <v>185</v>
      </c>
      <c r="D84" s="367" t="s">
        <v>369</v>
      </c>
      <c r="E84" s="374"/>
      <c r="F84" s="365"/>
      <c r="G84" s="413" t="s">
        <v>370</v>
      </c>
      <c r="H84" s="188"/>
      <c r="I84" s="193"/>
      <c r="J84" s="56"/>
      <c r="K84" s="50"/>
      <c r="L84" s="56"/>
      <c r="N84" s="102" t="str">
        <f>_xlfn.IFNA((VLOOKUP(L84,'DQ Lookup'!$A$2:$B$59,2,FALSE)),"")</f>
        <v/>
      </c>
      <c r="O84" s="38"/>
      <c r="P84" s="107"/>
    </row>
    <row r="85" spans="1:16" s="37" customFormat="1" ht="21.75" customHeight="1" x14ac:dyDescent="0.25">
      <c r="A85" s="51"/>
      <c r="B85" s="36"/>
      <c r="C85" s="63"/>
      <c r="D85" s="367" t="s">
        <v>365</v>
      </c>
      <c r="E85" s="374"/>
      <c r="F85" s="365"/>
      <c r="G85" s="413" t="s">
        <v>380</v>
      </c>
      <c r="H85" s="188"/>
      <c r="I85" s="193"/>
      <c r="J85" s="56"/>
      <c r="K85" s="50"/>
      <c r="L85" s="56"/>
      <c r="N85" s="102" t="str">
        <f>_xlfn.IFNA((VLOOKUP(L85,'DQ Lookup'!$A$2:$B$59,2,FALSE)),"")</f>
        <v/>
      </c>
      <c r="O85" s="38"/>
      <c r="P85" s="107"/>
    </row>
    <row r="86" spans="1:16" s="37" customFormat="1" ht="21.75" customHeight="1" x14ac:dyDescent="0.25">
      <c r="A86" s="51"/>
      <c r="B86" s="36"/>
      <c r="C86" s="63"/>
      <c r="D86" s="367" t="s">
        <v>371</v>
      </c>
      <c r="E86" s="374"/>
      <c r="F86" s="365"/>
      <c r="G86" s="413" t="s">
        <v>372</v>
      </c>
      <c r="H86" s="188"/>
      <c r="I86" s="193"/>
      <c r="J86" s="70"/>
      <c r="K86" s="93"/>
      <c r="L86" s="56"/>
      <c r="N86" s="102" t="str">
        <f>_xlfn.IFNA((VLOOKUP(L86,'DQ Lookup'!$A$2:$B$59,2,FALSE)),"")</f>
        <v/>
      </c>
      <c r="O86" s="38"/>
      <c r="P86" s="107"/>
    </row>
    <row r="87" spans="1:16" s="37" customFormat="1" ht="21.75" customHeight="1" x14ac:dyDescent="0.25">
      <c r="A87" s="51" t="s">
        <v>114</v>
      </c>
      <c r="B87" s="36"/>
      <c r="C87" s="63"/>
      <c r="D87" s="367" t="s">
        <v>391</v>
      </c>
      <c r="E87" s="374"/>
      <c r="F87" s="365"/>
      <c r="G87" s="413" t="s">
        <v>386</v>
      </c>
      <c r="H87" s="188"/>
      <c r="I87" s="193"/>
      <c r="J87" s="70"/>
      <c r="K87" s="50"/>
      <c r="L87" s="56"/>
      <c r="N87" s="102" t="str">
        <f>_xlfn.IFNA((VLOOKUP(L87,'DQ Lookup'!$A$2:$B$59,2,FALSE)),"")</f>
        <v/>
      </c>
      <c r="O87" s="38"/>
      <c r="P87" s="107"/>
    </row>
    <row r="88" spans="1:16" s="37" customFormat="1" ht="21.75" customHeight="1" thickBot="1" x14ac:dyDescent="0.3">
      <c r="A88" s="51"/>
      <c r="B88" s="36"/>
      <c r="C88" s="63"/>
      <c r="D88" s="367" t="s">
        <v>381</v>
      </c>
      <c r="E88" s="374"/>
      <c r="F88" s="365"/>
      <c r="G88" s="413" t="s">
        <v>374</v>
      </c>
      <c r="H88" s="366"/>
      <c r="I88" s="193"/>
      <c r="J88" s="73" t="str">
        <f>'Moors League'!D69</f>
        <v>5.24.78</v>
      </c>
      <c r="K88" s="61">
        <f>'Moors League'!E69</f>
        <v>4</v>
      </c>
      <c r="L88" s="56"/>
      <c r="N88" s="102" t="str">
        <f>_xlfn.IFNA((VLOOKUP(L88,'DQ Lookup'!$A$2:$B$59,2,FALSE)),"")</f>
        <v/>
      </c>
      <c r="O88" s="38"/>
      <c r="P88" s="107" t="s">
        <v>214</v>
      </c>
    </row>
    <row r="89" spans="1:16" ht="24.75" customHeight="1" thickBot="1" x14ac:dyDescent="0.25">
      <c r="A89" s="49"/>
      <c r="B89" s="1"/>
      <c r="C89" s="1"/>
      <c r="D89" s="1"/>
      <c r="E89" s="49"/>
      <c r="F89" s="57"/>
      <c r="G89" s="48"/>
      <c r="H89" s="112" t="s">
        <v>71</v>
      </c>
      <c r="I89" s="197"/>
      <c r="J89" s="113"/>
      <c r="K89" s="114">
        <f>SUM(K4:K88)</f>
        <v>198</v>
      </c>
      <c r="L89" s="56"/>
      <c r="N89" s="102"/>
    </row>
    <row r="90" spans="1:16" x14ac:dyDescent="0.2">
      <c r="A90" s="49"/>
      <c r="B90" s="1"/>
      <c r="C90" s="1"/>
      <c r="D90" s="1"/>
      <c r="E90" s="49"/>
      <c r="F90" s="46"/>
      <c r="G90" s="1"/>
      <c r="H90" s="46"/>
      <c r="I90" s="57"/>
      <c r="J90" s="57"/>
      <c r="K90" s="48"/>
      <c r="L90" s="57"/>
      <c r="N90" s="102"/>
    </row>
    <row r="91" spans="1:16" x14ac:dyDescent="0.2">
      <c r="A91" s="49"/>
      <c r="B91" s="1"/>
      <c r="C91" s="1"/>
      <c r="D91" s="1"/>
      <c r="E91" s="49"/>
      <c r="F91" s="46"/>
      <c r="G91" s="1"/>
      <c r="H91" s="46"/>
      <c r="I91" s="57"/>
      <c r="J91" s="57"/>
      <c r="K91" s="48"/>
      <c r="L91" s="57"/>
      <c r="N91" s="102"/>
    </row>
    <row r="92" spans="1:16" x14ac:dyDescent="0.2">
      <c r="A92" s="49"/>
      <c r="B92" s="1"/>
      <c r="C92" s="1"/>
      <c r="D92" s="1"/>
      <c r="E92" s="49"/>
      <c r="F92" s="46"/>
      <c r="G92" s="1"/>
      <c r="H92" s="46"/>
      <c r="I92" s="57"/>
      <c r="J92" s="57"/>
      <c r="K92" s="48"/>
      <c r="L92" s="57"/>
      <c r="N92" s="102"/>
    </row>
    <row r="93" spans="1:16" ht="15" customHeight="1" x14ac:dyDescent="0.2">
      <c r="A93" s="49"/>
      <c r="B93" s="1"/>
      <c r="C93" s="1"/>
      <c r="D93" s="1"/>
      <c r="E93" s="49"/>
      <c r="F93" s="46"/>
      <c r="G93" s="1"/>
      <c r="H93" s="46"/>
      <c r="I93" s="57"/>
      <c r="J93" s="57"/>
      <c r="K93" s="48"/>
      <c r="L93" s="57"/>
      <c r="N93" s="102"/>
    </row>
    <row r="94" spans="1:16" ht="15" customHeight="1" x14ac:dyDescent="0.2">
      <c r="A94" s="49"/>
      <c r="B94" s="1"/>
      <c r="C94" s="1"/>
      <c r="D94" s="1"/>
      <c r="E94" s="49"/>
      <c r="F94" s="46"/>
      <c r="G94" s="1"/>
      <c r="H94" s="46"/>
      <c r="I94" s="57"/>
      <c r="J94" s="57"/>
      <c r="K94" s="48"/>
      <c r="L94" s="57"/>
      <c r="N94" s="102"/>
    </row>
    <row r="95" spans="1:16" ht="15" customHeight="1" x14ac:dyDescent="0.2">
      <c r="A95" s="49"/>
      <c r="B95" s="1"/>
      <c r="C95" s="1"/>
      <c r="D95" s="1"/>
      <c r="E95" s="49"/>
      <c r="F95" s="46"/>
      <c r="G95" s="1"/>
      <c r="H95" s="46"/>
      <c r="I95" s="57"/>
      <c r="J95" s="57"/>
      <c r="K95" s="48"/>
      <c r="L95" s="57"/>
      <c r="N95" s="102"/>
    </row>
    <row r="96" spans="1:16" x14ac:dyDescent="0.2">
      <c r="A96" s="49"/>
      <c r="B96" s="1"/>
      <c r="C96" s="1"/>
      <c r="D96" s="1"/>
      <c r="E96" s="49"/>
      <c r="F96" s="46"/>
      <c r="G96" s="1"/>
      <c r="H96" s="46"/>
      <c r="I96" s="57"/>
      <c r="J96" s="57"/>
      <c r="K96" s="48"/>
      <c r="L96" s="57"/>
      <c r="N96" s="102"/>
    </row>
    <row r="97" spans="1:14" x14ac:dyDescent="0.2">
      <c r="A97" s="49"/>
      <c r="B97" s="1"/>
      <c r="C97" s="1"/>
      <c r="D97" s="1"/>
      <c r="E97" s="49"/>
      <c r="F97" s="46"/>
      <c r="G97" s="1"/>
      <c r="H97" s="46"/>
      <c r="I97" s="57"/>
      <c r="J97" s="57"/>
      <c r="K97" s="48"/>
      <c r="L97" s="57"/>
      <c r="N97" s="102"/>
    </row>
    <row r="98" spans="1:14" x14ac:dyDescent="0.2">
      <c r="A98" s="49"/>
      <c r="B98" s="1"/>
      <c r="C98" s="1"/>
      <c r="D98" s="1"/>
      <c r="E98" s="49"/>
      <c r="F98" s="46"/>
      <c r="G98" s="1"/>
      <c r="H98" s="46"/>
      <c r="I98" s="57"/>
      <c r="J98" s="57"/>
      <c r="K98" s="48"/>
      <c r="L98" s="57"/>
      <c r="N98" s="102"/>
    </row>
    <row r="99" spans="1:14" x14ac:dyDescent="0.2">
      <c r="A99" s="49"/>
      <c r="B99" s="1"/>
      <c r="C99" s="1"/>
      <c r="D99" s="1"/>
      <c r="E99" s="49"/>
      <c r="F99" s="46"/>
      <c r="G99" s="1"/>
      <c r="H99" s="46"/>
      <c r="I99" s="57"/>
      <c r="J99" s="57"/>
      <c r="K99" s="48"/>
      <c r="L99" s="57"/>
      <c r="N99" s="102"/>
    </row>
    <row r="100" spans="1:14" x14ac:dyDescent="0.2">
      <c r="A100" s="49"/>
      <c r="B100" s="1"/>
      <c r="C100" s="1"/>
      <c r="D100" s="1"/>
      <c r="E100" s="49"/>
      <c r="F100" s="46"/>
      <c r="G100" s="1"/>
      <c r="H100" s="46"/>
      <c r="I100" s="57"/>
      <c r="J100" s="57"/>
      <c r="K100" s="48"/>
      <c r="L100" s="57"/>
      <c r="N100" s="102"/>
    </row>
    <row r="101" spans="1:14" x14ac:dyDescent="0.2">
      <c r="A101" s="49"/>
      <c r="B101" s="1"/>
      <c r="C101" s="1"/>
      <c r="D101" s="1"/>
      <c r="E101" s="49"/>
      <c r="F101" s="46"/>
      <c r="G101" s="1"/>
      <c r="H101" s="46"/>
      <c r="I101" s="57"/>
      <c r="J101" s="57"/>
      <c r="K101" s="48"/>
      <c r="L101" s="57"/>
      <c r="N101" s="102"/>
    </row>
    <row r="102" spans="1:14" x14ac:dyDescent="0.2">
      <c r="A102" s="49"/>
      <c r="B102" s="1"/>
      <c r="C102" s="1"/>
      <c r="D102" s="1"/>
      <c r="E102" s="49"/>
      <c r="F102" s="46"/>
      <c r="G102" s="1"/>
      <c r="H102" s="46"/>
      <c r="I102" s="57"/>
      <c r="J102" s="57"/>
      <c r="K102" s="48"/>
      <c r="L102" s="57"/>
      <c r="N102" s="102"/>
    </row>
    <row r="103" spans="1:14" x14ac:dyDescent="0.2">
      <c r="A103" s="49"/>
      <c r="B103" s="1"/>
      <c r="C103" s="1"/>
      <c r="D103" s="1"/>
      <c r="E103" s="49"/>
      <c r="F103" s="46"/>
      <c r="G103" s="1"/>
      <c r="H103" s="46"/>
      <c r="I103" s="57"/>
      <c r="J103" s="57"/>
      <c r="K103" s="48"/>
      <c r="L103" s="57"/>
      <c r="N103" s="102"/>
    </row>
    <row r="104" spans="1:14" x14ac:dyDescent="0.2">
      <c r="A104" s="49"/>
      <c r="B104" s="1"/>
      <c r="C104" s="1"/>
      <c r="D104" s="1"/>
      <c r="E104" s="49"/>
      <c r="F104" s="46"/>
      <c r="G104" s="1"/>
      <c r="H104" s="46"/>
      <c r="I104" s="57"/>
      <c r="J104" s="57"/>
      <c r="K104" s="48"/>
      <c r="L104" s="57"/>
      <c r="N104" s="102"/>
    </row>
    <row r="105" spans="1:14" x14ac:dyDescent="0.2">
      <c r="A105" s="49"/>
      <c r="B105" s="1"/>
      <c r="C105" s="1"/>
      <c r="D105" s="1"/>
      <c r="E105" s="49"/>
      <c r="F105" s="46"/>
      <c r="G105" s="1"/>
      <c r="H105" s="46"/>
      <c r="I105" s="57"/>
      <c r="J105" s="57"/>
      <c r="K105" s="48"/>
      <c r="L105" s="57"/>
      <c r="N105" s="102"/>
    </row>
    <row r="106" spans="1:14" x14ac:dyDescent="0.2">
      <c r="A106" s="49"/>
      <c r="B106" s="1"/>
      <c r="C106" s="1"/>
      <c r="D106" s="1"/>
      <c r="E106" s="49"/>
      <c r="F106" s="46"/>
      <c r="G106" s="1"/>
      <c r="H106" s="46"/>
      <c r="I106" s="57"/>
      <c r="J106" s="57"/>
      <c r="K106" s="48"/>
      <c r="L106" s="57"/>
      <c r="N106" s="102"/>
    </row>
    <row r="107" spans="1:14" x14ac:dyDescent="0.2">
      <c r="A107" s="49"/>
      <c r="B107" s="1"/>
      <c r="C107" s="1"/>
      <c r="D107" s="1"/>
      <c r="E107" s="49"/>
      <c r="F107" s="46"/>
      <c r="G107" s="1"/>
      <c r="H107" s="46"/>
      <c r="I107" s="57"/>
      <c r="J107" s="57"/>
      <c r="K107" s="48"/>
      <c r="L107" s="57"/>
      <c r="N107" s="102"/>
    </row>
    <row r="108" spans="1:14" x14ac:dyDescent="0.2">
      <c r="A108" s="49"/>
      <c r="B108" s="1"/>
      <c r="C108" s="1"/>
      <c r="D108" s="1"/>
      <c r="E108" s="49"/>
      <c r="F108" s="46"/>
      <c r="G108" s="1"/>
      <c r="H108" s="46"/>
      <c r="I108" s="57"/>
      <c r="J108" s="57"/>
      <c r="K108" s="48"/>
      <c r="L108" s="57"/>
      <c r="N108" s="102"/>
    </row>
    <row r="109" spans="1:14" x14ac:dyDescent="0.2">
      <c r="A109" s="49"/>
      <c r="B109" s="1"/>
      <c r="C109" s="1"/>
      <c r="D109" s="1"/>
      <c r="E109" s="49"/>
      <c r="F109" s="46"/>
      <c r="G109" s="1"/>
      <c r="H109" s="46"/>
      <c r="I109" s="57"/>
      <c r="J109" s="57"/>
      <c r="K109" s="48"/>
      <c r="L109" s="57"/>
      <c r="N109" s="102"/>
    </row>
    <row r="110" spans="1:14" x14ac:dyDescent="0.2">
      <c r="A110" s="49"/>
      <c r="B110" s="1"/>
      <c r="C110" s="1"/>
      <c r="D110" s="1"/>
      <c r="E110" s="49"/>
      <c r="F110" s="46"/>
      <c r="G110" s="1"/>
      <c r="H110" s="46"/>
      <c r="I110" s="57"/>
      <c r="J110" s="57"/>
      <c r="K110" s="48"/>
      <c r="L110" s="57"/>
      <c r="N110" s="102"/>
    </row>
    <row r="111" spans="1:14" x14ac:dyDescent="0.2">
      <c r="A111" s="49"/>
      <c r="B111" s="1"/>
      <c r="C111" s="1"/>
      <c r="D111" s="1"/>
      <c r="E111" s="49"/>
      <c r="F111" s="46"/>
      <c r="G111" s="1"/>
      <c r="H111" s="46"/>
      <c r="I111" s="57"/>
      <c r="J111" s="57"/>
      <c r="K111" s="48"/>
      <c r="L111" s="57"/>
      <c r="N111" s="102"/>
    </row>
    <row r="112" spans="1:14" x14ac:dyDescent="0.2">
      <c r="A112" s="49"/>
      <c r="B112" s="1"/>
      <c r="C112" s="1"/>
      <c r="D112" s="1"/>
      <c r="E112" s="49"/>
      <c r="F112" s="46"/>
      <c r="G112" s="1"/>
      <c r="H112" s="46"/>
      <c r="I112" s="57"/>
      <c r="J112" s="57"/>
      <c r="K112" s="48"/>
      <c r="L112" s="57"/>
      <c r="N112" s="102"/>
    </row>
    <row r="113" spans="1:14" x14ac:dyDescent="0.2">
      <c r="A113" s="49"/>
      <c r="B113" s="1"/>
      <c r="C113" s="1"/>
      <c r="D113" s="1"/>
      <c r="E113" s="49"/>
      <c r="F113" s="46"/>
      <c r="G113" s="1"/>
      <c r="H113" s="46"/>
      <c r="I113" s="57"/>
      <c r="J113" s="57"/>
      <c r="K113" s="48"/>
      <c r="L113" s="57"/>
      <c r="N113" s="102"/>
    </row>
    <row r="114" spans="1:14" x14ac:dyDescent="0.2">
      <c r="A114" s="49"/>
      <c r="B114" s="1"/>
      <c r="C114" s="1"/>
      <c r="D114" s="1"/>
      <c r="E114" s="49"/>
      <c r="F114" s="46"/>
      <c r="G114" s="1"/>
      <c r="H114" s="46"/>
      <c r="I114" s="57"/>
      <c r="J114" s="57"/>
      <c r="K114" s="48"/>
      <c r="L114" s="57"/>
      <c r="N114" s="102"/>
    </row>
    <row r="115" spans="1:14" x14ac:dyDescent="0.2">
      <c r="A115" s="49"/>
      <c r="B115" s="1"/>
      <c r="C115" s="1"/>
      <c r="D115" s="1"/>
      <c r="E115" s="49"/>
      <c r="F115" s="46"/>
      <c r="G115" s="1"/>
      <c r="H115" s="46"/>
      <c r="I115" s="57"/>
      <c r="J115" s="57"/>
      <c r="K115" s="48"/>
      <c r="L115" s="57"/>
      <c r="N115" s="102"/>
    </row>
    <row r="116" spans="1:14" x14ac:dyDescent="0.2">
      <c r="A116" s="49"/>
      <c r="B116" s="1"/>
      <c r="C116" s="1"/>
      <c r="D116" s="1"/>
      <c r="E116" s="49"/>
      <c r="F116" s="46"/>
      <c r="G116" s="1"/>
      <c r="H116" s="46"/>
      <c r="I116" s="57"/>
      <c r="J116" s="57"/>
      <c r="K116" s="48"/>
      <c r="L116" s="57"/>
      <c r="N116" s="102"/>
    </row>
    <row r="117" spans="1:14" x14ac:dyDescent="0.2">
      <c r="A117" s="49"/>
      <c r="B117" s="1"/>
      <c r="C117" s="1"/>
      <c r="D117" s="1"/>
      <c r="E117" s="49"/>
      <c r="F117" s="46"/>
      <c r="G117" s="1"/>
      <c r="H117" s="46"/>
      <c r="I117" s="57"/>
      <c r="J117" s="57"/>
      <c r="K117" s="48"/>
      <c r="L117" s="57"/>
      <c r="N117" s="102"/>
    </row>
    <row r="118" spans="1:14" x14ac:dyDescent="0.2">
      <c r="A118" s="49"/>
      <c r="B118" s="1"/>
      <c r="C118" s="1"/>
      <c r="D118" s="1"/>
      <c r="E118" s="49"/>
      <c r="F118" s="46"/>
      <c r="G118" s="1"/>
      <c r="H118" s="46"/>
      <c r="I118" s="57"/>
      <c r="J118" s="57"/>
      <c r="K118" s="48"/>
      <c r="L118" s="57"/>
      <c r="N118" s="102"/>
    </row>
    <row r="119" spans="1:14" x14ac:dyDescent="0.2">
      <c r="A119" s="49"/>
      <c r="B119" s="1"/>
      <c r="C119" s="1"/>
      <c r="D119" s="1"/>
      <c r="E119" s="49"/>
      <c r="F119" s="46"/>
      <c r="G119" s="1"/>
      <c r="H119" s="46"/>
      <c r="I119" s="57"/>
      <c r="J119" s="57"/>
      <c r="K119" s="48"/>
      <c r="L119" s="57"/>
      <c r="N119" s="102"/>
    </row>
    <row r="120" spans="1:14" x14ac:dyDescent="0.2">
      <c r="A120" s="49"/>
      <c r="B120" s="1"/>
      <c r="C120" s="1"/>
      <c r="D120" s="1"/>
      <c r="E120" s="49"/>
      <c r="F120" s="46"/>
      <c r="G120" s="1"/>
      <c r="H120" s="46"/>
      <c r="I120" s="57"/>
      <c r="J120" s="57"/>
      <c r="K120" s="48"/>
      <c r="L120" s="57"/>
      <c r="N120" s="102"/>
    </row>
    <row r="121" spans="1:14" x14ac:dyDescent="0.2">
      <c r="A121" s="49"/>
      <c r="B121" s="1"/>
      <c r="C121" s="1"/>
      <c r="D121" s="1"/>
      <c r="E121" s="49"/>
      <c r="F121" s="46"/>
      <c r="G121" s="1"/>
      <c r="H121" s="46"/>
      <c r="I121" s="57"/>
      <c r="J121" s="57"/>
      <c r="K121" s="48"/>
      <c r="L121" s="57"/>
      <c r="N121" s="102"/>
    </row>
    <row r="122" spans="1:14" x14ac:dyDescent="0.2">
      <c r="A122" s="49"/>
      <c r="B122" s="1"/>
      <c r="C122" s="1"/>
      <c r="D122" s="1"/>
      <c r="E122" s="49"/>
      <c r="F122" s="46"/>
      <c r="G122" s="1"/>
      <c r="H122" s="46"/>
      <c r="I122" s="57"/>
      <c r="J122" s="57"/>
      <c r="K122" s="48"/>
      <c r="L122" s="57"/>
      <c r="N122" s="102"/>
    </row>
    <row r="123" spans="1:14" x14ac:dyDescent="0.2">
      <c r="A123" s="49"/>
      <c r="B123" s="1"/>
      <c r="C123" s="1"/>
      <c r="D123" s="1"/>
      <c r="E123" s="49"/>
      <c r="F123" s="46"/>
      <c r="G123" s="1"/>
      <c r="H123" s="46"/>
      <c r="I123" s="57"/>
      <c r="J123" s="57"/>
      <c r="K123" s="48"/>
      <c r="L123" s="57"/>
      <c r="N123" s="102"/>
    </row>
    <row r="124" spans="1:14" x14ac:dyDescent="0.2">
      <c r="A124" s="49"/>
      <c r="B124" s="1"/>
      <c r="C124" s="1"/>
      <c r="D124" s="1"/>
      <c r="E124" s="49"/>
      <c r="F124" s="46"/>
      <c r="G124" s="1"/>
      <c r="H124" s="46"/>
      <c r="I124" s="57"/>
      <c r="J124" s="57"/>
      <c r="K124" s="48"/>
      <c r="L124" s="57"/>
      <c r="N124" s="102"/>
    </row>
    <row r="125" spans="1:14" x14ac:dyDescent="0.2">
      <c r="A125" s="49"/>
      <c r="B125" s="1"/>
      <c r="C125" s="1"/>
      <c r="D125" s="1"/>
      <c r="E125" s="49"/>
      <c r="F125" s="46"/>
      <c r="G125" s="1"/>
      <c r="H125" s="46"/>
      <c r="I125" s="57"/>
      <c r="J125" s="57"/>
      <c r="K125" s="48"/>
      <c r="L125" s="57"/>
      <c r="N125" s="102"/>
    </row>
    <row r="126" spans="1:14" x14ac:dyDescent="0.2">
      <c r="A126" s="49"/>
      <c r="B126" s="1"/>
      <c r="C126" s="1"/>
      <c r="D126" s="1"/>
      <c r="E126" s="49"/>
      <c r="F126" s="46"/>
      <c r="G126" s="1"/>
      <c r="H126" s="46"/>
      <c r="I126" s="57"/>
      <c r="J126" s="57"/>
      <c r="K126" s="48"/>
      <c r="L126" s="57"/>
      <c r="N126" s="102"/>
    </row>
    <row r="127" spans="1:14" x14ac:dyDescent="0.2">
      <c r="A127" s="49"/>
      <c r="B127" s="1"/>
      <c r="C127" s="1"/>
      <c r="D127" s="1"/>
      <c r="E127" s="49"/>
      <c r="F127" s="46"/>
      <c r="G127" s="1"/>
      <c r="H127" s="46"/>
      <c r="I127" s="57"/>
      <c r="J127" s="57"/>
      <c r="K127" s="48"/>
      <c r="L127" s="57"/>
      <c r="N127" s="102"/>
    </row>
    <row r="128" spans="1:14" x14ac:dyDescent="0.2">
      <c r="A128" s="49"/>
      <c r="B128" s="1"/>
      <c r="C128" s="1"/>
      <c r="D128" s="1"/>
      <c r="E128" s="49"/>
      <c r="F128" s="46"/>
      <c r="G128" s="1"/>
      <c r="H128" s="46"/>
      <c r="I128" s="57"/>
      <c r="J128" s="57"/>
      <c r="K128" s="48"/>
      <c r="L128" s="57"/>
      <c r="N128" s="102"/>
    </row>
    <row r="129" spans="1:14" x14ac:dyDescent="0.2">
      <c r="A129" s="49"/>
      <c r="B129" s="1"/>
      <c r="C129" s="1"/>
      <c r="D129" s="1"/>
      <c r="E129" s="49"/>
      <c r="F129" s="46"/>
      <c r="G129" s="1"/>
      <c r="H129" s="46"/>
      <c r="I129" s="57"/>
      <c r="J129" s="57"/>
      <c r="K129" s="48"/>
      <c r="L129" s="57"/>
      <c r="N129" s="102"/>
    </row>
    <row r="130" spans="1:14" x14ac:dyDescent="0.2">
      <c r="A130" s="49"/>
      <c r="B130" s="1"/>
      <c r="C130" s="1"/>
      <c r="D130" s="1"/>
      <c r="E130" s="49"/>
      <c r="F130" s="46"/>
      <c r="G130" s="1"/>
      <c r="H130" s="46"/>
      <c r="I130" s="57"/>
      <c r="J130" s="57"/>
      <c r="K130" s="48"/>
      <c r="L130" s="57"/>
      <c r="N130" s="102"/>
    </row>
    <row r="131" spans="1:14" x14ac:dyDescent="0.2">
      <c r="A131" s="49"/>
      <c r="B131" s="1"/>
      <c r="C131" s="1"/>
      <c r="D131" s="1"/>
      <c r="E131" s="49"/>
      <c r="F131" s="46"/>
      <c r="G131" s="1"/>
      <c r="H131" s="46"/>
      <c r="I131" s="57"/>
      <c r="J131" s="57"/>
      <c r="K131" s="48"/>
      <c r="L131" s="57"/>
      <c r="N131" s="102"/>
    </row>
    <row r="132" spans="1:14" x14ac:dyDescent="0.2">
      <c r="A132" s="49"/>
      <c r="B132" s="1"/>
      <c r="C132" s="1"/>
      <c r="D132" s="1"/>
      <c r="E132" s="49"/>
      <c r="F132" s="46"/>
      <c r="G132" s="1"/>
      <c r="H132" s="46"/>
      <c r="I132" s="57"/>
      <c r="J132" s="57"/>
      <c r="K132" s="48"/>
      <c r="L132" s="57"/>
      <c r="N132" s="102"/>
    </row>
    <row r="133" spans="1:14" x14ac:dyDescent="0.2">
      <c r="A133" s="49"/>
      <c r="B133" s="1"/>
      <c r="C133" s="1"/>
      <c r="D133" s="1"/>
      <c r="E133" s="49"/>
      <c r="F133" s="46"/>
      <c r="G133" s="1"/>
      <c r="H133" s="46"/>
      <c r="I133" s="57"/>
      <c r="J133" s="57"/>
      <c r="K133" s="48"/>
      <c r="L133" s="57"/>
      <c r="N133" s="102"/>
    </row>
    <row r="134" spans="1:14" x14ac:dyDescent="0.2">
      <c r="A134" s="49"/>
      <c r="B134" s="1"/>
      <c r="C134" s="1"/>
      <c r="D134" s="1"/>
      <c r="E134" s="49"/>
      <c r="F134" s="46"/>
      <c r="G134" s="1"/>
      <c r="H134" s="46"/>
      <c r="I134" s="57"/>
      <c r="J134" s="57"/>
      <c r="K134" s="48"/>
      <c r="L134" s="57"/>
      <c r="N134" s="102"/>
    </row>
    <row r="135" spans="1:14" x14ac:dyDescent="0.2">
      <c r="A135" s="49"/>
      <c r="B135" s="1"/>
      <c r="C135" s="1"/>
      <c r="D135" s="1"/>
      <c r="E135" s="49"/>
      <c r="F135" s="46"/>
      <c r="G135" s="1"/>
      <c r="H135" s="46"/>
      <c r="I135" s="57"/>
      <c r="J135" s="57"/>
      <c r="K135" s="48"/>
      <c r="L135" s="57"/>
      <c r="N135" s="102"/>
    </row>
    <row r="136" spans="1:14" x14ac:dyDescent="0.2">
      <c r="A136" s="49"/>
      <c r="B136" s="1"/>
      <c r="C136" s="1"/>
      <c r="D136" s="1"/>
      <c r="E136" s="49"/>
      <c r="F136" s="46"/>
      <c r="G136" s="1"/>
      <c r="H136" s="46"/>
      <c r="I136" s="57"/>
      <c r="J136" s="57"/>
      <c r="K136" s="48"/>
      <c r="L136" s="57"/>
      <c r="N136" s="102"/>
    </row>
    <row r="137" spans="1:14" x14ac:dyDescent="0.2">
      <c r="A137" s="49"/>
      <c r="B137" s="1"/>
      <c r="C137" s="1"/>
      <c r="D137" s="1"/>
      <c r="E137" s="49"/>
      <c r="F137" s="46"/>
      <c r="G137" s="1"/>
      <c r="H137" s="46"/>
      <c r="I137" s="57"/>
      <c r="J137" s="57"/>
      <c r="K137" s="48"/>
      <c r="L137" s="57"/>
      <c r="N137" s="102"/>
    </row>
  </sheetData>
  <sheetProtection selectLockedCells="1" selectUnlockedCells="1"/>
  <mergeCells count="3">
    <mergeCell ref="A1:D1"/>
    <mergeCell ref="A2:B2"/>
    <mergeCell ref="J58:K58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'DQ Lookup'!$A$2:$A$59</xm:f>
          </x14:formula1>
          <xm:sqref>L4:L88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7"/>
  <sheetViews>
    <sheetView topLeftCell="A49" zoomScale="95" zoomScaleNormal="95" workbookViewId="0">
      <selection activeCell="N65" sqref="N65"/>
    </sheetView>
  </sheetViews>
  <sheetFormatPr defaultRowHeight="12.75" x14ac:dyDescent="0.2"/>
  <cols>
    <col min="1" max="1" width="3.7109375" style="49" customWidth="1"/>
    <col min="2" max="2" width="14.140625" style="1" customWidth="1"/>
    <col min="3" max="3" width="19.28515625" style="1" customWidth="1"/>
    <col min="4" max="4" width="25.85546875" style="1" customWidth="1"/>
    <col min="5" max="5" width="11.85546875" style="56" customWidth="1"/>
    <col min="6" max="6" width="9.140625" style="46"/>
    <col min="7" max="7" width="23" style="1" customWidth="1"/>
    <col min="8" max="8" width="10.140625" style="46" customWidth="1"/>
    <col min="9" max="9" width="10.140625" style="47" customWidth="1"/>
    <col min="10" max="10" width="8.42578125" style="47" customWidth="1"/>
    <col min="11" max="11" width="9.140625" style="48"/>
    <col min="12" max="12" width="9.140625" style="23"/>
    <col min="13" max="13" width="9.140625" style="1"/>
    <col min="14" max="14" width="27.85546875" style="170" bestFit="1" customWidth="1"/>
    <col min="15" max="15" width="13.28515625" style="108" hidden="1" customWidth="1"/>
    <col min="16" max="16" width="0" style="104" hidden="1" customWidth="1"/>
    <col min="17" max="16384" width="9.140625" style="1"/>
  </cols>
  <sheetData>
    <row r="1" spans="1:16" s="42" customFormat="1" ht="29.25" customHeight="1" x14ac:dyDescent="0.25">
      <c r="A1" s="42" t="s">
        <v>75</v>
      </c>
      <c r="E1" s="122"/>
      <c r="F1" s="173"/>
      <c r="G1" s="42" t="str">
        <f>'Moors League'!V86</f>
        <v>Guisborough</v>
      </c>
      <c r="H1" s="173"/>
      <c r="I1" s="44"/>
      <c r="J1" s="44"/>
      <c r="K1" s="45"/>
      <c r="L1" s="23"/>
      <c r="N1" s="170"/>
      <c r="O1" s="108"/>
      <c r="P1" s="104"/>
    </row>
    <row r="2" spans="1:16" s="42" customFormat="1" ht="18.75" x14ac:dyDescent="0.3">
      <c r="A2" s="41" t="s">
        <v>1</v>
      </c>
      <c r="B2" s="41"/>
      <c r="C2" s="41" t="str">
        <f>'Moors League'!C3</f>
        <v>Redcar Leisure Centre (Host Stokesley)</v>
      </c>
      <c r="D2" s="41"/>
      <c r="E2" s="123"/>
      <c r="F2" s="42" t="s">
        <v>76</v>
      </c>
      <c r="G2" s="43" t="str">
        <f>'Moors League'!L3</f>
        <v>17th June 2023</v>
      </c>
      <c r="I2" s="44"/>
      <c r="J2" s="44"/>
      <c r="K2" s="45"/>
      <c r="L2" s="29"/>
      <c r="N2" s="171"/>
      <c r="O2" s="109" t="s">
        <v>181</v>
      </c>
      <c r="P2" s="105" t="s">
        <v>182</v>
      </c>
    </row>
    <row r="3" spans="1:16" x14ac:dyDescent="0.2">
      <c r="K3" s="50" t="s">
        <v>16</v>
      </c>
      <c r="L3" s="71" t="s">
        <v>284</v>
      </c>
      <c r="M3" s="71" t="s">
        <v>286</v>
      </c>
      <c r="N3" s="172" t="s">
        <v>285</v>
      </c>
      <c r="O3" s="110"/>
      <c r="P3" s="106"/>
    </row>
    <row r="4" spans="1:16" ht="21.75" customHeight="1" x14ac:dyDescent="0.2">
      <c r="A4" s="51">
        <v>1</v>
      </c>
      <c r="B4" s="36" t="s">
        <v>77</v>
      </c>
      <c r="C4" s="63" t="s">
        <v>78</v>
      </c>
      <c r="D4" s="453" t="s">
        <v>471</v>
      </c>
      <c r="E4" s="451"/>
      <c r="F4" s="95">
        <f>'Moors League'!H9</f>
        <v>34.590000000000003</v>
      </c>
      <c r="G4" s="4"/>
      <c r="H4" s="52"/>
      <c r="I4" s="133"/>
      <c r="K4" s="53">
        <f>'Moors League'!I9</f>
        <v>1</v>
      </c>
      <c r="L4" s="56"/>
      <c r="N4" s="102" t="str">
        <f>_xlfn.IFNA((VLOOKUP(L4,'DQ Lookup'!$A$2:$B$59,2,FALSE)),"")</f>
        <v/>
      </c>
      <c r="O4" s="110"/>
      <c r="P4" s="107">
        <f>O4-F4</f>
        <v>-34.590000000000003</v>
      </c>
    </row>
    <row r="5" spans="1:16" ht="21.75" customHeight="1" x14ac:dyDescent="0.2">
      <c r="A5" s="51">
        <v>2</v>
      </c>
      <c r="B5" s="36" t="s">
        <v>79</v>
      </c>
      <c r="C5" s="63" t="s">
        <v>78</v>
      </c>
      <c r="D5" s="454" t="s">
        <v>472</v>
      </c>
      <c r="E5" s="452"/>
      <c r="F5" s="95">
        <f>'Moors League'!H10</f>
        <v>31.48</v>
      </c>
      <c r="G5" s="354"/>
      <c r="K5" s="53">
        <f>'Moors League'!I10</f>
        <v>3</v>
      </c>
      <c r="L5" s="56"/>
      <c r="N5" s="102" t="str">
        <f>_xlfn.IFNA((VLOOKUP(L5,'DQ Lookup'!$A$2:$B$59,2,FALSE)),"")</f>
        <v/>
      </c>
      <c r="O5" s="110"/>
      <c r="P5" s="107">
        <f t="shared" ref="P5:P13" si="0">O5-F5</f>
        <v>-31.48</v>
      </c>
    </row>
    <row r="6" spans="1:16" ht="21.75" customHeight="1" x14ac:dyDescent="0.2">
      <c r="A6" s="51">
        <v>3</v>
      </c>
      <c r="B6" s="36" t="s">
        <v>80</v>
      </c>
      <c r="C6" s="63" t="s">
        <v>81</v>
      </c>
      <c r="D6" s="453" t="s">
        <v>473</v>
      </c>
      <c r="E6" s="451"/>
      <c r="F6" s="95">
        <f>'Moors League'!H11</f>
        <v>38.25</v>
      </c>
      <c r="G6" s="4"/>
      <c r="H6" s="4"/>
      <c r="K6" s="53">
        <f>'Moors League'!I11</f>
        <v>3</v>
      </c>
      <c r="L6" s="56"/>
      <c r="N6" s="102" t="str">
        <f>_xlfn.IFNA((VLOOKUP(L6,'DQ Lookup'!$A$2:$B$59,2,FALSE)),"")</f>
        <v/>
      </c>
      <c r="O6" s="110"/>
      <c r="P6" s="107">
        <f t="shared" si="0"/>
        <v>-38.25</v>
      </c>
    </row>
    <row r="7" spans="1:16" ht="21.75" customHeight="1" x14ac:dyDescent="0.2">
      <c r="A7" s="51">
        <v>4</v>
      </c>
      <c r="B7" s="36" t="s">
        <v>82</v>
      </c>
      <c r="C7" s="63" t="s">
        <v>81</v>
      </c>
      <c r="D7" s="453" t="s">
        <v>474</v>
      </c>
      <c r="E7" s="451"/>
      <c r="F7" s="95">
        <f>'Moors League'!H12</f>
        <v>47.4</v>
      </c>
      <c r="G7" s="81"/>
      <c r="H7" s="4"/>
      <c r="K7" s="53">
        <f>'Moors League'!I12</f>
        <v>1</v>
      </c>
      <c r="L7" s="56"/>
      <c r="N7" s="102" t="str">
        <f>_xlfn.IFNA((VLOOKUP(L7,'DQ Lookup'!$A$2:$B$59,2,FALSE)),"")</f>
        <v/>
      </c>
      <c r="O7" s="110"/>
      <c r="P7" s="107">
        <f t="shared" si="0"/>
        <v>-47.4</v>
      </c>
    </row>
    <row r="8" spans="1:16" ht="21.75" customHeight="1" x14ac:dyDescent="0.2">
      <c r="A8" s="51">
        <v>5</v>
      </c>
      <c r="B8" s="36" t="s">
        <v>83</v>
      </c>
      <c r="C8" s="63" t="s">
        <v>84</v>
      </c>
      <c r="D8" s="453" t="s">
        <v>482</v>
      </c>
      <c r="E8" s="451"/>
      <c r="F8" s="95">
        <f>'Moors League'!H13</f>
        <v>46.62</v>
      </c>
      <c r="K8" s="53">
        <f>'Moors League'!I13</f>
        <v>1</v>
      </c>
      <c r="L8" s="56"/>
      <c r="N8" s="102" t="str">
        <f>_xlfn.IFNA((VLOOKUP(L8,'DQ Lookup'!$A$2:$B$59,2,FALSE)),"")</f>
        <v/>
      </c>
      <c r="O8" s="110"/>
      <c r="P8" s="107">
        <f t="shared" si="0"/>
        <v>-46.62</v>
      </c>
    </row>
    <row r="9" spans="1:16" ht="21.75" customHeight="1" x14ac:dyDescent="0.2">
      <c r="A9" s="51">
        <v>6</v>
      </c>
      <c r="B9" s="36" t="s">
        <v>85</v>
      </c>
      <c r="C9" s="63" t="s">
        <v>84</v>
      </c>
      <c r="D9" s="453" t="s">
        <v>475</v>
      </c>
      <c r="E9" s="451"/>
      <c r="F9" s="95">
        <f>'Moors League'!H14</f>
        <v>39.18</v>
      </c>
      <c r="K9" s="53">
        <f>'Moors League'!I14</f>
        <v>2</v>
      </c>
      <c r="L9" s="56"/>
      <c r="N9" s="102" t="str">
        <f>_xlfn.IFNA((VLOOKUP(L9,'DQ Lookup'!$A$2:$B$59,2,FALSE)),"")</f>
        <v/>
      </c>
      <c r="O9" s="110"/>
      <c r="P9" s="107">
        <f t="shared" si="0"/>
        <v>-39.18</v>
      </c>
    </row>
    <row r="10" spans="1:16" ht="21.75" customHeight="1" x14ac:dyDescent="0.2">
      <c r="A10" s="51">
        <v>7</v>
      </c>
      <c r="B10" s="36" t="s">
        <v>86</v>
      </c>
      <c r="C10" s="63" t="s">
        <v>87</v>
      </c>
      <c r="D10" s="453" t="s">
        <v>476</v>
      </c>
      <c r="E10" s="451"/>
      <c r="F10" s="95">
        <f>'Moors League'!H15</f>
        <v>16.260000000000002</v>
      </c>
      <c r="G10" s="60"/>
      <c r="K10" s="53">
        <f>'Moors League'!I15</f>
        <v>4</v>
      </c>
      <c r="L10" s="56"/>
      <c r="N10" s="102" t="str">
        <f>_xlfn.IFNA((VLOOKUP(L10,'DQ Lookup'!$A$2:$B$59,2,FALSE)),"")</f>
        <v/>
      </c>
      <c r="O10" s="110"/>
      <c r="P10" s="107">
        <f t="shared" si="0"/>
        <v>-16.260000000000002</v>
      </c>
    </row>
    <row r="11" spans="1:16" ht="21.75" customHeight="1" x14ac:dyDescent="0.2">
      <c r="A11" s="51">
        <v>8</v>
      </c>
      <c r="B11" s="36" t="s">
        <v>88</v>
      </c>
      <c r="C11" s="63" t="s">
        <v>87</v>
      </c>
      <c r="D11" s="453" t="s">
        <v>492</v>
      </c>
      <c r="E11" s="451"/>
      <c r="F11" s="95">
        <f>'Moors League'!H16</f>
        <v>19.39</v>
      </c>
      <c r="G11" s="74"/>
      <c r="K11" s="53">
        <f>'Moors League'!I16</f>
        <v>2</v>
      </c>
      <c r="L11" s="56"/>
      <c r="N11" s="102" t="str">
        <f>_xlfn.IFNA((VLOOKUP(L11,'DQ Lookup'!$A$2:$B$59,2,FALSE)),"")</f>
        <v/>
      </c>
      <c r="O11" s="110"/>
      <c r="P11" s="107">
        <f t="shared" si="0"/>
        <v>-19.39</v>
      </c>
    </row>
    <row r="12" spans="1:16" ht="21.75" customHeight="1" x14ac:dyDescent="0.2">
      <c r="A12" s="51">
        <v>9</v>
      </c>
      <c r="B12" s="36" t="s">
        <v>89</v>
      </c>
      <c r="C12" s="63" t="s">
        <v>90</v>
      </c>
      <c r="D12" s="453" t="s">
        <v>478</v>
      </c>
      <c r="E12" s="451"/>
      <c r="F12" s="95">
        <f>'Moors League'!H17</f>
        <v>39.11</v>
      </c>
      <c r="G12" s="245"/>
      <c r="K12" s="53">
        <f>'Moors League'!I17</f>
        <v>1</v>
      </c>
      <c r="L12" s="56"/>
      <c r="N12" s="102" t="str">
        <f>_xlfn.IFNA((VLOOKUP(L12,'DQ Lookup'!$A$2:$B$59,2,FALSE)),"")</f>
        <v/>
      </c>
      <c r="O12" s="110"/>
      <c r="P12" s="107">
        <f t="shared" si="0"/>
        <v>-39.11</v>
      </c>
    </row>
    <row r="13" spans="1:16" ht="21.75" customHeight="1" x14ac:dyDescent="0.2">
      <c r="A13" s="51">
        <v>10</v>
      </c>
      <c r="B13" s="36" t="s">
        <v>91</v>
      </c>
      <c r="C13" s="63" t="s">
        <v>90</v>
      </c>
      <c r="D13" s="453" t="s">
        <v>479</v>
      </c>
      <c r="E13" s="451"/>
      <c r="F13" s="95">
        <f>'Moors League'!H18</f>
        <v>36.229999999999997</v>
      </c>
      <c r="G13" s="355"/>
      <c r="K13" s="53">
        <f>'Moors League'!I18</f>
        <v>4</v>
      </c>
      <c r="L13" s="56"/>
      <c r="N13" s="102" t="str">
        <f>_xlfn.IFNA((VLOOKUP(L13,'DQ Lookup'!$A$2:$B$59,2,FALSE)),"")</f>
        <v/>
      </c>
      <c r="O13" s="110"/>
      <c r="P13" s="107">
        <f t="shared" si="0"/>
        <v>-36.229999999999997</v>
      </c>
    </row>
    <row r="14" spans="1:16" ht="21.75" customHeight="1" x14ac:dyDescent="0.25">
      <c r="A14" s="51">
        <v>11</v>
      </c>
      <c r="B14" s="36" t="s">
        <v>77</v>
      </c>
      <c r="C14" s="63" t="s">
        <v>183</v>
      </c>
      <c r="D14" s="359" t="s">
        <v>471</v>
      </c>
      <c r="E14" s="183"/>
      <c r="F14" s="189" t="s">
        <v>93</v>
      </c>
      <c r="G14" s="359" t="s">
        <v>482</v>
      </c>
      <c r="H14" s="92" t="s">
        <v>94</v>
      </c>
      <c r="I14" s="179"/>
      <c r="J14" s="483"/>
      <c r="K14" s="483"/>
      <c r="L14" s="483"/>
      <c r="M14" s="483"/>
      <c r="N14" s="483"/>
      <c r="O14" s="110"/>
      <c r="P14" s="107"/>
    </row>
    <row r="15" spans="1:16" ht="21.75" customHeight="1" x14ac:dyDescent="0.2">
      <c r="A15" s="51"/>
      <c r="B15" s="36"/>
      <c r="C15" s="63"/>
      <c r="D15" s="359" t="s">
        <v>480</v>
      </c>
      <c r="E15" s="183"/>
      <c r="F15" s="189" t="s">
        <v>95</v>
      </c>
      <c r="G15" s="359" t="s">
        <v>495</v>
      </c>
      <c r="H15" s="92" t="s">
        <v>96</v>
      </c>
      <c r="I15" s="179"/>
      <c r="J15" s="55" t="str">
        <f>'Moors League'!H19</f>
        <v>2.28.64</v>
      </c>
      <c r="K15" s="53">
        <f>'Moors League'!I19</f>
        <v>2</v>
      </c>
      <c r="L15" s="56"/>
      <c r="N15" s="102" t="str">
        <f>_xlfn.IFNA((VLOOKUP(L15,'DQ Lookup'!$A$2:$B$59,2,FALSE)),"")</f>
        <v/>
      </c>
      <c r="O15" s="110"/>
      <c r="P15" s="107">
        <f>7.13-7.28</f>
        <v>-0.15000000000000036</v>
      </c>
    </row>
    <row r="16" spans="1:16" ht="21.75" customHeight="1" x14ac:dyDescent="0.2">
      <c r="A16" s="51">
        <v>12</v>
      </c>
      <c r="B16" s="36" t="s">
        <v>79</v>
      </c>
      <c r="C16" s="63" t="s">
        <v>183</v>
      </c>
      <c r="D16" s="359" t="s">
        <v>475</v>
      </c>
      <c r="E16" s="183"/>
      <c r="F16" s="189" t="s">
        <v>93</v>
      </c>
      <c r="G16" s="359" t="s">
        <v>485</v>
      </c>
      <c r="H16" s="92" t="s">
        <v>94</v>
      </c>
      <c r="I16" s="179"/>
      <c r="J16" s="485"/>
      <c r="K16" s="485"/>
      <c r="L16" s="56"/>
      <c r="N16" s="102" t="str">
        <f>_xlfn.IFNA((VLOOKUP(L16,'DQ Lookup'!$A$2:$B$59,2,FALSE)),"")</f>
        <v/>
      </c>
      <c r="O16" s="110"/>
      <c r="P16" s="107"/>
    </row>
    <row r="17" spans="1:16" ht="21.75" customHeight="1" x14ac:dyDescent="0.2">
      <c r="A17" s="51"/>
      <c r="B17" s="36"/>
      <c r="C17" s="86"/>
      <c r="D17" s="359" t="s">
        <v>472</v>
      </c>
      <c r="E17" s="183"/>
      <c r="F17" s="189" t="s">
        <v>95</v>
      </c>
      <c r="G17" s="359" t="s">
        <v>488</v>
      </c>
      <c r="H17" s="92" t="s">
        <v>96</v>
      </c>
      <c r="I17" s="179"/>
      <c r="J17" s="55" t="str">
        <f>'Moors League'!H20</f>
        <v>2.05.67</v>
      </c>
      <c r="K17" s="53">
        <f>'Moors League'!I20</f>
        <v>3</v>
      </c>
      <c r="L17" s="56"/>
      <c r="N17" s="102" t="str">
        <f>_xlfn.IFNA((VLOOKUP(L17,'DQ Lookup'!$A$2:$B$59,2,FALSE)),"")</f>
        <v/>
      </c>
      <c r="O17" s="110"/>
      <c r="P17" s="107">
        <f>8.34-8.51</f>
        <v>-0.16999999999999993</v>
      </c>
    </row>
    <row r="18" spans="1:16" ht="21.75" customHeight="1" x14ac:dyDescent="0.2">
      <c r="A18" s="51">
        <v>13</v>
      </c>
      <c r="B18" s="36" t="s">
        <v>80</v>
      </c>
      <c r="C18" s="152" t="s">
        <v>184</v>
      </c>
      <c r="D18" s="455" t="s">
        <v>483</v>
      </c>
      <c r="E18" s="184"/>
      <c r="F18" s="189"/>
      <c r="G18" s="453" t="s">
        <v>490</v>
      </c>
      <c r="H18" s="96"/>
      <c r="I18" s="179"/>
      <c r="J18" s="54"/>
      <c r="K18" s="50"/>
      <c r="L18" s="56"/>
      <c r="N18" s="102" t="str">
        <f>_xlfn.IFNA((VLOOKUP(L18,'DQ Lookup'!$A$2:$B$59,2,FALSE)),"")</f>
        <v/>
      </c>
      <c r="O18" s="110"/>
      <c r="P18" s="107"/>
    </row>
    <row r="19" spans="1:16" ht="21.75" customHeight="1" x14ac:dyDescent="0.2">
      <c r="A19" s="51"/>
      <c r="B19" s="36"/>
      <c r="C19" s="152"/>
      <c r="D19" s="453" t="s">
        <v>473</v>
      </c>
      <c r="E19" s="185"/>
      <c r="F19" s="189"/>
      <c r="G19" s="453" t="s">
        <v>476</v>
      </c>
      <c r="H19" s="96"/>
      <c r="I19" s="179"/>
      <c r="J19" s="55" t="str">
        <f>'Moors League'!H21</f>
        <v>2.23.90</v>
      </c>
      <c r="K19" s="53">
        <f>'Moors League'!I21</f>
        <v>3</v>
      </c>
      <c r="L19" s="56"/>
      <c r="N19" s="102" t="str">
        <f>_xlfn.IFNA((VLOOKUP(L19,'DQ Lookup'!$A$2:$B$59,2,FALSE)),"")</f>
        <v/>
      </c>
      <c r="O19" s="110"/>
      <c r="P19" s="107">
        <f>0.44-0.47</f>
        <v>-2.9999999999999971E-2</v>
      </c>
    </row>
    <row r="20" spans="1:16" ht="21.75" customHeight="1" x14ac:dyDescent="0.2">
      <c r="A20" s="51">
        <v>14</v>
      </c>
      <c r="B20" s="36" t="s">
        <v>82</v>
      </c>
      <c r="C20" s="152" t="s">
        <v>184</v>
      </c>
      <c r="D20" s="455" t="s">
        <v>474</v>
      </c>
      <c r="E20" s="184"/>
      <c r="F20" s="189"/>
      <c r="G20" s="453" t="s">
        <v>491</v>
      </c>
      <c r="H20" s="96"/>
      <c r="I20" s="179"/>
      <c r="J20" s="485"/>
      <c r="K20" s="485"/>
      <c r="L20" s="56"/>
      <c r="N20" s="102" t="str">
        <f>_xlfn.IFNA((VLOOKUP(L20,'DQ Lookup'!$A$2:$B$59,2,FALSE)),"")</f>
        <v/>
      </c>
      <c r="O20" s="110"/>
      <c r="P20" s="107"/>
    </row>
    <row r="21" spans="1:16" ht="21.75" customHeight="1" x14ac:dyDescent="0.2">
      <c r="A21" s="51"/>
      <c r="B21" s="36"/>
      <c r="C21" s="152"/>
      <c r="D21" s="455" t="s">
        <v>481</v>
      </c>
      <c r="E21" s="184"/>
      <c r="F21" s="189"/>
      <c r="G21" s="453" t="s">
        <v>492</v>
      </c>
      <c r="H21" s="96"/>
      <c r="I21" s="179"/>
      <c r="J21" s="55" t="str">
        <f>'Moors League'!H22</f>
        <v>2.43.09</v>
      </c>
      <c r="K21" s="53">
        <f>'Moors League'!I22</f>
        <v>1</v>
      </c>
      <c r="L21" s="56"/>
      <c r="N21" s="102" t="str">
        <f>_xlfn.IFNA((VLOOKUP(L21,'DQ Lookup'!$A$2:$B$59,2,FALSE)),"")</f>
        <v/>
      </c>
      <c r="O21" s="110"/>
      <c r="P21" s="107"/>
    </row>
    <row r="22" spans="1:16" ht="21.75" customHeight="1" x14ac:dyDescent="0.2">
      <c r="A22" s="51">
        <v>15</v>
      </c>
      <c r="B22" s="36" t="s">
        <v>89</v>
      </c>
      <c r="C22" s="152" t="s">
        <v>97</v>
      </c>
      <c r="D22" s="455" t="s">
        <v>478</v>
      </c>
      <c r="E22" s="186"/>
      <c r="F22" s="95">
        <f>'Moors League'!H23</f>
        <v>46.8</v>
      </c>
      <c r="G22" s="456"/>
      <c r="K22" s="53">
        <f>'Moors League'!I23</f>
        <v>1</v>
      </c>
      <c r="L22" s="56"/>
      <c r="N22" s="102" t="str">
        <f>_xlfn.IFNA((VLOOKUP(L22,'DQ Lookup'!$A$2:$B$59,2,FALSE)),"")</f>
        <v/>
      </c>
      <c r="O22" s="110"/>
      <c r="P22" s="107">
        <f>O22-F22</f>
        <v>-46.8</v>
      </c>
    </row>
    <row r="23" spans="1:16" ht="21.75" customHeight="1" x14ac:dyDescent="0.2">
      <c r="A23" s="51">
        <v>16</v>
      </c>
      <c r="B23" s="36" t="s">
        <v>91</v>
      </c>
      <c r="C23" s="152" t="s">
        <v>97</v>
      </c>
      <c r="D23" s="455" t="s">
        <v>479</v>
      </c>
      <c r="E23" s="186"/>
      <c r="F23" s="95">
        <f>'Moors League'!H24</f>
        <v>43.63</v>
      </c>
      <c r="G23" s="456"/>
      <c r="K23" s="53">
        <f>'Moors League'!I24</f>
        <v>2</v>
      </c>
      <c r="L23" s="56"/>
      <c r="N23" s="102" t="str">
        <f>_xlfn.IFNA((VLOOKUP(L23,'DQ Lookup'!$A$2:$B$59,2,FALSE)),"")</f>
        <v/>
      </c>
      <c r="O23" s="110"/>
      <c r="P23" s="107"/>
    </row>
    <row r="24" spans="1:16" ht="21.75" customHeight="1" x14ac:dyDescent="0.2">
      <c r="A24" s="51">
        <v>17</v>
      </c>
      <c r="B24" s="36" t="s">
        <v>86</v>
      </c>
      <c r="C24" s="152" t="s">
        <v>98</v>
      </c>
      <c r="D24" s="455" t="s">
        <v>483</v>
      </c>
      <c r="E24" s="186"/>
      <c r="F24" s="95">
        <f>'Moors League'!H25</f>
        <v>18.12</v>
      </c>
      <c r="G24" s="456"/>
      <c r="K24" s="53">
        <f>'Moors League'!I25</f>
        <v>4</v>
      </c>
      <c r="L24" s="56"/>
      <c r="N24" s="102" t="str">
        <f>_xlfn.IFNA((VLOOKUP(L24,'DQ Lookup'!$A$2:$B$59,2,FALSE)),"")</f>
        <v/>
      </c>
      <c r="O24" s="110"/>
      <c r="P24" s="107">
        <f t="shared" ref="P24:P31" si="1">O24-F24</f>
        <v>-18.12</v>
      </c>
    </row>
    <row r="25" spans="1:16" ht="21.75" customHeight="1" x14ac:dyDescent="0.2">
      <c r="A25" s="51">
        <v>18</v>
      </c>
      <c r="B25" s="36" t="s">
        <v>88</v>
      </c>
      <c r="C25" s="88" t="s">
        <v>98</v>
      </c>
      <c r="D25" s="455" t="s">
        <v>477</v>
      </c>
      <c r="E25" s="186"/>
      <c r="F25" s="95">
        <f>'Moors League'!H26</f>
        <v>27.92</v>
      </c>
      <c r="G25" s="456"/>
      <c r="K25" s="53">
        <f>'Moors League'!I26</f>
        <v>1</v>
      </c>
      <c r="L25" s="56"/>
      <c r="N25" s="102" t="str">
        <f>_xlfn.IFNA((VLOOKUP(L25,'DQ Lookup'!$A$2:$B$59,2,FALSE)),"")</f>
        <v/>
      </c>
      <c r="O25" s="110"/>
      <c r="P25" s="107">
        <f t="shared" si="1"/>
        <v>-27.92</v>
      </c>
    </row>
    <row r="26" spans="1:16" ht="21.75" customHeight="1" x14ac:dyDescent="0.2">
      <c r="A26" s="51">
        <v>19</v>
      </c>
      <c r="B26" s="36" t="s">
        <v>83</v>
      </c>
      <c r="C26" s="63" t="s">
        <v>100</v>
      </c>
      <c r="D26" s="455" t="s">
        <v>484</v>
      </c>
      <c r="E26" s="186"/>
      <c r="F26" s="95">
        <f>'Moors League'!H27</f>
        <v>35.57</v>
      </c>
      <c r="G26" s="456"/>
      <c r="K26" s="53">
        <f>'Moors League'!I27</f>
        <v>1</v>
      </c>
      <c r="L26" s="56"/>
      <c r="N26" s="102" t="str">
        <f>_xlfn.IFNA((VLOOKUP(L26,'DQ Lookup'!$A$2:$B$59,2,FALSE)),"")</f>
        <v/>
      </c>
      <c r="O26" s="110"/>
      <c r="P26" s="107">
        <f t="shared" si="1"/>
        <v>-35.57</v>
      </c>
    </row>
    <row r="27" spans="1:16" ht="21.75" customHeight="1" x14ac:dyDescent="0.2">
      <c r="A27" s="51">
        <v>20</v>
      </c>
      <c r="B27" s="36" t="s">
        <v>85</v>
      </c>
      <c r="C27" s="63" t="s">
        <v>100</v>
      </c>
      <c r="D27" s="455" t="s">
        <v>475</v>
      </c>
      <c r="E27" s="186"/>
      <c r="F27" s="95">
        <f>'Moors League'!H28</f>
        <v>32.159999999999997</v>
      </c>
      <c r="G27" s="456"/>
      <c r="K27" s="53">
        <f>'Moors League'!I28</f>
        <v>2</v>
      </c>
      <c r="L27" s="83"/>
      <c r="N27" s="102" t="str">
        <f>_xlfn.IFNA((VLOOKUP(L27,'DQ Lookup'!$A$2:$B$59,2,FALSE)),"")</f>
        <v/>
      </c>
      <c r="O27" s="110"/>
      <c r="P27" s="107">
        <f t="shared" si="1"/>
        <v>-32.159999999999997</v>
      </c>
    </row>
    <row r="28" spans="1:16" ht="21.75" customHeight="1" x14ac:dyDescent="0.2">
      <c r="A28" s="51">
        <v>21</v>
      </c>
      <c r="B28" s="36" t="s">
        <v>80</v>
      </c>
      <c r="C28" s="63" t="s">
        <v>101</v>
      </c>
      <c r="D28" s="455" t="s">
        <v>473</v>
      </c>
      <c r="E28" s="186"/>
      <c r="F28" s="95">
        <f>'Moors League'!H29</f>
        <v>34.6</v>
      </c>
      <c r="G28" s="456"/>
      <c r="K28" s="53">
        <f>'Moors League'!I29</f>
        <v>2</v>
      </c>
      <c r="L28" s="56"/>
      <c r="N28" s="102" t="str">
        <f>_xlfn.IFNA((VLOOKUP(L28,'DQ Lookup'!$A$2:$B$59,2,FALSE)),"")</f>
        <v/>
      </c>
      <c r="O28" s="110"/>
      <c r="P28" s="107">
        <f t="shared" si="1"/>
        <v>-34.6</v>
      </c>
    </row>
    <row r="29" spans="1:16" ht="21.75" customHeight="1" x14ac:dyDescent="0.2">
      <c r="A29" s="51">
        <v>22</v>
      </c>
      <c r="B29" s="36" t="s">
        <v>82</v>
      </c>
      <c r="C29" s="63" t="s">
        <v>101</v>
      </c>
      <c r="D29" s="455" t="s">
        <v>474</v>
      </c>
      <c r="E29" s="186"/>
      <c r="F29" s="95">
        <f>'Moors League'!H30</f>
        <v>37.01</v>
      </c>
      <c r="G29" s="456"/>
      <c r="K29" s="53">
        <f>'Moors League'!I30</f>
        <v>2</v>
      </c>
      <c r="L29" s="56"/>
      <c r="N29" s="102" t="str">
        <f>_xlfn.IFNA((VLOOKUP(L29,'DQ Lookup'!$A$2:$B$59,2,FALSE)),"")</f>
        <v/>
      </c>
      <c r="O29" s="110"/>
      <c r="P29" s="107">
        <f t="shared" si="1"/>
        <v>-37.01</v>
      </c>
    </row>
    <row r="30" spans="1:16" ht="21.75" customHeight="1" x14ac:dyDescent="0.2">
      <c r="A30" s="51">
        <v>23</v>
      </c>
      <c r="B30" s="36" t="s">
        <v>77</v>
      </c>
      <c r="C30" s="63" t="s">
        <v>97</v>
      </c>
      <c r="D30" s="455" t="s">
        <v>471</v>
      </c>
      <c r="E30" s="186"/>
      <c r="F30" s="95">
        <f>'Moors League'!H31</f>
        <v>41.34</v>
      </c>
      <c r="G30" s="456"/>
      <c r="K30" s="53">
        <f>'Moors League'!I31</f>
        <v>3</v>
      </c>
      <c r="L30" s="56"/>
      <c r="N30" s="102" t="str">
        <f>_xlfn.IFNA((VLOOKUP(L30,'DQ Lookup'!$A$2:$B$59,2,FALSE)),"")</f>
        <v/>
      </c>
      <c r="O30" s="110"/>
      <c r="P30" s="107">
        <f t="shared" si="1"/>
        <v>-41.34</v>
      </c>
    </row>
    <row r="31" spans="1:16" ht="21.75" customHeight="1" x14ac:dyDescent="0.2">
      <c r="A31" s="51">
        <v>24</v>
      </c>
      <c r="B31" s="36" t="s">
        <v>79</v>
      </c>
      <c r="C31" s="63" t="s">
        <v>97</v>
      </c>
      <c r="D31" s="455" t="s">
        <v>485</v>
      </c>
      <c r="E31" s="186"/>
      <c r="F31" s="95">
        <f>'Moors League'!H32</f>
        <v>33.35</v>
      </c>
      <c r="G31" s="456"/>
      <c r="K31" s="53">
        <f>'Moors League'!I32</f>
        <v>3</v>
      </c>
      <c r="L31" s="56"/>
      <c r="N31" s="102" t="str">
        <f>_xlfn.IFNA((VLOOKUP(L31,'DQ Lookup'!$A$2:$B$59,2,FALSE)),"")</f>
        <v/>
      </c>
      <c r="O31" s="110"/>
      <c r="P31" s="107">
        <f t="shared" si="1"/>
        <v>-33.35</v>
      </c>
    </row>
    <row r="32" spans="1:16" ht="21.75" customHeight="1" x14ac:dyDescent="0.2">
      <c r="A32" s="51">
        <v>25</v>
      </c>
      <c r="B32" s="36" t="s">
        <v>89</v>
      </c>
      <c r="C32" s="63" t="s">
        <v>183</v>
      </c>
      <c r="D32" s="359" t="s">
        <v>478</v>
      </c>
      <c r="E32" s="92" t="s">
        <v>93</v>
      </c>
      <c r="F32" s="190"/>
      <c r="G32" s="359" t="s">
        <v>482</v>
      </c>
      <c r="H32" s="92" t="s">
        <v>94</v>
      </c>
      <c r="I32" s="179"/>
      <c r="J32" s="54"/>
      <c r="K32" s="50"/>
      <c r="L32" s="56"/>
      <c r="N32" s="102" t="str">
        <f>_xlfn.IFNA((VLOOKUP(L32,'DQ Lookup'!$A$2:$B$59,2,FALSE)),"")</f>
        <v/>
      </c>
      <c r="O32" s="110"/>
      <c r="P32" s="107"/>
    </row>
    <row r="33" spans="1:16" ht="21.75" customHeight="1" x14ac:dyDescent="0.2">
      <c r="A33" s="51"/>
      <c r="B33" s="36"/>
      <c r="C33" s="63"/>
      <c r="D33" s="359" t="s">
        <v>486</v>
      </c>
      <c r="E33" s="92" t="s">
        <v>95</v>
      </c>
      <c r="F33" s="190"/>
      <c r="G33" s="359" t="s">
        <v>473</v>
      </c>
      <c r="H33" s="92" t="s">
        <v>96</v>
      </c>
      <c r="I33" s="179"/>
      <c r="J33" s="55" t="str">
        <f>'Moors League'!H33</f>
        <v>2.39.10</v>
      </c>
      <c r="K33" s="53">
        <f>'Moors League'!I33</f>
        <v>2</v>
      </c>
      <c r="L33" s="56"/>
      <c r="N33" s="102" t="str">
        <f>_xlfn.IFNA((VLOOKUP(L33,'DQ Lookup'!$A$2:$B$59,2,FALSE)),"")</f>
        <v/>
      </c>
      <c r="O33" s="110"/>
      <c r="P33" s="107"/>
    </row>
    <row r="34" spans="1:16" ht="21.75" customHeight="1" x14ac:dyDescent="0.2">
      <c r="A34" s="51">
        <v>26</v>
      </c>
      <c r="B34" s="36" t="s">
        <v>91</v>
      </c>
      <c r="C34" s="63" t="s">
        <v>183</v>
      </c>
      <c r="D34" s="359" t="s">
        <v>487</v>
      </c>
      <c r="E34" s="92" t="s">
        <v>93</v>
      </c>
      <c r="F34" s="190"/>
      <c r="G34" s="359" t="s">
        <v>474</v>
      </c>
      <c r="H34" s="92" t="s">
        <v>94</v>
      </c>
      <c r="I34" s="179"/>
      <c r="K34" s="50"/>
      <c r="L34" s="56"/>
      <c r="N34" s="102" t="str">
        <f>_xlfn.IFNA((VLOOKUP(L34,'DQ Lookup'!$A$2:$B$59,2,FALSE)),"")</f>
        <v/>
      </c>
      <c r="O34" s="110"/>
      <c r="P34" s="107"/>
    </row>
    <row r="35" spans="1:16" ht="21.75" customHeight="1" x14ac:dyDescent="0.2">
      <c r="A35" s="51"/>
      <c r="B35" s="36"/>
      <c r="C35" s="63"/>
      <c r="D35" s="359" t="s">
        <v>479</v>
      </c>
      <c r="E35" s="92" t="s">
        <v>95</v>
      </c>
      <c r="F35" s="190"/>
      <c r="G35" s="359" t="s">
        <v>494</v>
      </c>
      <c r="H35" s="92" t="s">
        <v>96</v>
      </c>
      <c r="I35" s="179"/>
      <c r="J35" s="55" t="str">
        <f>'Moors League'!H34</f>
        <v>2.42.37</v>
      </c>
      <c r="K35" s="53">
        <f>'Moors League'!I34</f>
        <v>3</v>
      </c>
      <c r="L35" s="56"/>
      <c r="N35" s="102" t="str">
        <f>_xlfn.IFNA((VLOOKUP(L35,'DQ Lookup'!$A$2:$B$59,2,FALSE)),"")</f>
        <v/>
      </c>
      <c r="O35" s="110"/>
      <c r="P35" s="107">
        <f>41.97-42.04</f>
        <v>-7.0000000000000284E-2</v>
      </c>
    </row>
    <row r="36" spans="1:16" ht="21.75" customHeight="1" x14ac:dyDescent="0.2">
      <c r="A36" s="51">
        <v>27</v>
      </c>
      <c r="B36" s="36" t="s">
        <v>102</v>
      </c>
      <c r="C36" s="63" t="s">
        <v>112</v>
      </c>
      <c r="D36" s="359" t="s">
        <v>483</v>
      </c>
      <c r="E36" s="187"/>
      <c r="F36" s="190"/>
      <c r="G36" s="359" t="s">
        <v>476</v>
      </c>
      <c r="H36" s="92"/>
      <c r="I36" s="179"/>
      <c r="J36" s="130"/>
      <c r="K36" s="50"/>
      <c r="L36" s="56"/>
      <c r="N36" s="102" t="str">
        <f>_xlfn.IFNA((VLOOKUP(L36,'DQ Lookup'!$A$2:$B$59,2,FALSE)),"")</f>
        <v/>
      </c>
      <c r="O36" s="110"/>
      <c r="P36" s="107"/>
    </row>
    <row r="37" spans="1:16" ht="21.75" customHeight="1" x14ac:dyDescent="0.2">
      <c r="A37" s="51"/>
      <c r="B37" s="36"/>
      <c r="C37" s="63"/>
      <c r="D37" s="359" t="s">
        <v>489</v>
      </c>
      <c r="E37" s="187"/>
      <c r="F37" s="190"/>
      <c r="G37" s="359" t="s">
        <v>493</v>
      </c>
      <c r="H37" s="92"/>
      <c r="I37" s="179"/>
      <c r="J37" s="55" t="str">
        <f>'Moors League'!H35</f>
        <v>1.19.02</v>
      </c>
      <c r="K37" s="53">
        <f>'Moors League'!I35</f>
        <v>4</v>
      </c>
      <c r="L37" s="56"/>
      <c r="N37" s="102" t="str">
        <f>_xlfn.IFNA((VLOOKUP(L37,'DQ Lookup'!$A$2:$B$59,2,FALSE)),"")</f>
        <v/>
      </c>
      <c r="O37" s="110"/>
      <c r="P37" s="107">
        <f>1.28-1.47</f>
        <v>-0.18999999999999995</v>
      </c>
    </row>
    <row r="38" spans="1:16" ht="21.75" customHeight="1" x14ac:dyDescent="0.2">
      <c r="A38" s="51">
        <v>28</v>
      </c>
      <c r="B38" s="36" t="s">
        <v>103</v>
      </c>
      <c r="C38" s="63" t="s">
        <v>112</v>
      </c>
      <c r="D38" s="359"/>
      <c r="E38" s="187"/>
      <c r="F38" s="190"/>
      <c r="G38" s="359"/>
      <c r="H38" s="96"/>
      <c r="I38" s="179"/>
      <c r="J38" s="174"/>
      <c r="K38" s="50"/>
      <c r="L38" s="56"/>
      <c r="N38" s="102" t="str">
        <f>_xlfn.IFNA((VLOOKUP(L38,'DQ Lookup'!$A$2:$B$59,2,FALSE)),"")</f>
        <v/>
      </c>
      <c r="O38" s="110"/>
      <c r="P38" s="107"/>
    </row>
    <row r="39" spans="1:16" ht="21.75" customHeight="1" x14ac:dyDescent="0.2">
      <c r="A39" s="51"/>
      <c r="B39" s="36"/>
      <c r="C39" s="63"/>
      <c r="D39" s="359"/>
      <c r="E39" s="187"/>
      <c r="F39" s="190"/>
      <c r="G39" s="359"/>
      <c r="H39" s="92"/>
      <c r="I39" s="179"/>
      <c r="J39" s="55" t="str">
        <f>'Moors League'!H36</f>
        <v>DNS</v>
      </c>
      <c r="K39" s="53">
        <f>'Moors League'!I36</f>
        <v>0</v>
      </c>
      <c r="L39" s="56"/>
      <c r="N39" s="102" t="str">
        <f>_xlfn.IFNA((VLOOKUP(L39,'DQ Lookup'!$A$2:$B$59,2,FALSE)),"")</f>
        <v/>
      </c>
      <c r="O39" s="110"/>
      <c r="P39" s="107">
        <f>6.84-6.97</f>
        <v>-0.12999999999999989</v>
      </c>
    </row>
    <row r="40" spans="1:16" ht="21.75" customHeight="1" x14ac:dyDescent="0.2">
      <c r="A40" s="51">
        <v>29</v>
      </c>
      <c r="B40" s="36" t="s">
        <v>83</v>
      </c>
      <c r="C40" s="63" t="s">
        <v>183</v>
      </c>
      <c r="D40" s="455" t="s">
        <v>478</v>
      </c>
      <c r="E40" s="92" t="s">
        <v>93</v>
      </c>
      <c r="F40" s="190"/>
      <c r="G40" s="455" t="s">
        <v>482</v>
      </c>
      <c r="H40" s="92" t="s">
        <v>94</v>
      </c>
      <c r="I40" s="179"/>
      <c r="K40" s="50"/>
      <c r="L40" s="56"/>
      <c r="N40" s="102" t="str">
        <f>_xlfn.IFNA((VLOOKUP(L40,'DQ Lookup'!$A$2:$B$59,2,FALSE)),"")</f>
        <v/>
      </c>
      <c r="O40" s="110"/>
      <c r="P40" s="107"/>
    </row>
    <row r="41" spans="1:16" ht="21.75" customHeight="1" x14ac:dyDescent="0.2">
      <c r="A41" s="51"/>
      <c r="B41" s="36"/>
      <c r="C41" s="63"/>
      <c r="D41" s="359" t="s">
        <v>484</v>
      </c>
      <c r="E41" s="92" t="s">
        <v>95</v>
      </c>
      <c r="F41" s="190"/>
      <c r="G41" s="359" t="s">
        <v>486</v>
      </c>
      <c r="H41" s="92" t="s">
        <v>96</v>
      </c>
      <c r="I41" s="179"/>
      <c r="J41" s="55" t="str">
        <f>'Moors League'!H37</f>
        <v>2.36.42</v>
      </c>
      <c r="K41" s="53">
        <f>'Moors League'!I37</f>
        <v>2</v>
      </c>
      <c r="L41" s="56"/>
      <c r="N41" s="102" t="str">
        <f>_xlfn.IFNA((VLOOKUP(L41,'DQ Lookup'!$A$2:$B$59,2,FALSE)),"")</f>
        <v/>
      </c>
      <c r="O41" s="110"/>
      <c r="P41" s="107">
        <f>6.15-6.31</f>
        <v>-0.15999999999999925</v>
      </c>
    </row>
    <row r="42" spans="1:16" ht="21.75" customHeight="1" x14ac:dyDescent="0.2">
      <c r="A42" s="51">
        <v>30</v>
      </c>
      <c r="B42" s="36" t="s">
        <v>104</v>
      </c>
      <c r="C42" s="63" t="s">
        <v>183</v>
      </c>
      <c r="D42" s="359" t="s">
        <v>488</v>
      </c>
      <c r="E42" s="92" t="s">
        <v>93</v>
      </c>
      <c r="F42" s="190"/>
      <c r="G42" s="359" t="s">
        <v>475</v>
      </c>
      <c r="H42" s="92" t="s">
        <v>94</v>
      </c>
      <c r="I42" s="179"/>
      <c r="J42" s="54"/>
      <c r="K42" s="50"/>
      <c r="L42" s="56"/>
      <c r="N42" s="102" t="str">
        <f>_xlfn.IFNA((VLOOKUP(L42,'DQ Lookup'!$A$2:$B$59,2,FALSE)),"")</f>
        <v/>
      </c>
      <c r="O42" s="110"/>
      <c r="P42" s="107"/>
    </row>
    <row r="43" spans="1:16" ht="21.75" customHeight="1" x14ac:dyDescent="0.2">
      <c r="A43" s="51"/>
      <c r="B43" s="36"/>
      <c r="C43" s="63"/>
      <c r="D43" s="359" t="s">
        <v>479</v>
      </c>
      <c r="E43" s="92" t="s">
        <v>95</v>
      </c>
      <c r="F43" s="190"/>
      <c r="G43" s="359" t="s">
        <v>487</v>
      </c>
      <c r="H43" s="92" t="s">
        <v>96</v>
      </c>
      <c r="I43" s="179"/>
      <c r="J43" s="55" t="str">
        <f>'Moors League'!H38</f>
        <v>2.25.01</v>
      </c>
      <c r="K43" s="53">
        <f>'Moors League'!I38</f>
        <v>2</v>
      </c>
      <c r="L43" s="56"/>
      <c r="N43" s="102" t="str">
        <f>_xlfn.IFNA((VLOOKUP(L43,'DQ Lookup'!$A$2:$B$59,2,FALSE)),"")</f>
        <v/>
      </c>
      <c r="O43" s="110"/>
      <c r="P43" s="107">
        <f>29.94-30.16</f>
        <v>-0.21999999999999886</v>
      </c>
    </row>
    <row r="44" spans="1:16" ht="21.75" customHeight="1" x14ac:dyDescent="0.25">
      <c r="A44" s="51">
        <v>31</v>
      </c>
      <c r="B44" s="36" t="s">
        <v>77</v>
      </c>
      <c r="C44" s="63" t="s">
        <v>81</v>
      </c>
      <c r="D44" s="455" t="s">
        <v>480</v>
      </c>
      <c r="E44" s="186"/>
      <c r="F44" s="95">
        <f>'Moors League'!H39</f>
        <v>35.950000000000003</v>
      </c>
      <c r="G44" s="75"/>
      <c r="H44" s="48"/>
      <c r="J44" s="56"/>
      <c r="K44" s="53">
        <f>'Moors League'!I39</f>
        <v>1</v>
      </c>
      <c r="L44" s="56"/>
      <c r="N44" s="102" t="str">
        <f>_xlfn.IFNA((VLOOKUP(L44,'DQ Lookup'!$A$2:$B$59,2,FALSE)),"")</f>
        <v/>
      </c>
      <c r="O44" s="111"/>
      <c r="P44" s="107">
        <f t="shared" ref="P44:P53" si="2">O44-F44</f>
        <v>-35.950000000000003</v>
      </c>
    </row>
    <row r="45" spans="1:16" ht="21.75" customHeight="1" x14ac:dyDescent="0.25">
      <c r="A45" s="51">
        <v>32</v>
      </c>
      <c r="B45" s="36" t="s">
        <v>79</v>
      </c>
      <c r="C45" s="63" t="s">
        <v>81</v>
      </c>
      <c r="D45" s="455" t="s">
        <v>472</v>
      </c>
      <c r="E45" s="186"/>
      <c r="F45" s="95">
        <f>'Moors League'!H40</f>
        <v>29.32</v>
      </c>
      <c r="G45" s="75"/>
      <c r="H45" s="48"/>
      <c r="J45" s="56"/>
      <c r="K45" s="53">
        <f>'Moors League'!I40</f>
        <v>3</v>
      </c>
      <c r="L45" s="56"/>
      <c r="N45" s="102" t="str">
        <f>_xlfn.IFNA((VLOOKUP(L45,'DQ Lookup'!$A$2:$B$59,2,FALSE)),"")</f>
        <v/>
      </c>
      <c r="O45" s="111"/>
      <c r="P45" s="107">
        <f t="shared" si="2"/>
        <v>-29.32</v>
      </c>
    </row>
    <row r="46" spans="1:16" ht="21.75" customHeight="1" x14ac:dyDescent="0.2">
      <c r="A46" s="51">
        <v>33</v>
      </c>
      <c r="B46" s="36" t="s">
        <v>80</v>
      </c>
      <c r="C46" s="63" t="s">
        <v>105</v>
      </c>
      <c r="D46" s="455" t="s">
        <v>473</v>
      </c>
      <c r="E46" s="186"/>
      <c r="F46" s="95">
        <f>'Moors League'!H41</f>
        <v>40.299999999999997</v>
      </c>
      <c r="G46" s="75"/>
      <c r="H46" s="48"/>
      <c r="J46" s="56"/>
      <c r="K46" s="53">
        <f>'Moors League'!I41</f>
        <v>3</v>
      </c>
      <c r="L46" s="56"/>
      <c r="N46" s="102" t="str">
        <f>_xlfn.IFNA((VLOOKUP(L46,'DQ Lookup'!$A$2:$B$59,2,FALSE)),"")</f>
        <v/>
      </c>
      <c r="O46" s="110"/>
      <c r="P46" s="107">
        <f t="shared" si="2"/>
        <v>-40.299999999999997</v>
      </c>
    </row>
    <row r="47" spans="1:16" ht="21.75" customHeight="1" x14ac:dyDescent="0.2">
      <c r="A47" s="51">
        <v>34</v>
      </c>
      <c r="B47" s="36" t="s">
        <v>82</v>
      </c>
      <c r="C47" s="63" t="s">
        <v>105</v>
      </c>
      <c r="D47" s="455" t="s">
        <v>474</v>
      </c>
      <c r="E47" s="186"/>
      <c r="F47" s="95">
        <f>'Moors League'!H42</f>
        <v>44.74</v>
      </c>
      <c r="G47" s="75"/>
      <c r="H47" s="48"/>
      <c r="J47" s="56"/>
      <c r="K47" s="53">
        <f>'Moors League'!I42</f>
        <v>1</v>
      </c>
      <c r="L47" s="56"/>
      <c r="N47" s="102" t="str">
        <f>_xlfn.IFNA((VLOOKUP(L47,'DQ Lookup'!$A$2:$B$59,2,FALSE)),"")</f>
        <v/>
      </c>
      <c r="O47" s="110"/>
      <c r="P47" s="107">
        <f t="shared" si="2"/>
        <v>-44.74</v>
      </c>
    </row>
    <row r="48" spans="1:16" ht="21.75" customHeight="1" x14ac:dyDescent="0.2">
      <c r="A48" s="51">
        <v>35</v>
      </c>
      <c r="B48" s="36" t="s">
        <v>83</v>
      </c>
      <c r="C48" s="63" t="s">
        <v>106</v>
      </c>
      <c r="D48" s="455" t="s">
        <v>482</v>
      </c>
      <c r="E48" s="186"/>
      <c r="F48" s="95">
        <f>'Moors League'!H43</f>
        <v>35.03</v>
      </c>
      <c r="G48" s="75"/>
      <c r="H48" s="48"/>
      <c r="J48" s="56"/>
      <c r="K48" s="53">
        <f>'Moors League'!I43</f>
        <v>1</v>
      </c>
      <c r="L48" s="56"/>
      <c r="N48" s="102" t="str">
        <f>_xlfn.IFNA((VLOOKUP(L48,'DQ Lookup'!$A$2:$B$59,2,FALSE)),"")</f>
        <v/>
      </c>
      <c r="O48" s="110"/>
      <c r="P48" s="107">
        <f t="shared" si="2"/>
        <v>-35.03</v>
      </c>
    </row>
    <row r="49" spans="1:17" ht="21.75" customHeight="1" x14ac:dyDescent="0.2">
      <c r="A49" s="51">
        <v>36</v>
      </c>
      <c r="B49" s="36" t="s">
        <v>85</v>
      </c>
      <c r="C49" s="63" t="s">
        <v>106</v>
      </c>
      <c r="D49" s="455" t="s">
        <v>488</v>
      </c>
      <c r="E49" s="186"/>
      <c r="F49" s="95">
        <f>'Moors League'!H44</f>
        <v>29.76</v>
      </c>
      <c r="G49" s="75"/>
      <c r="H49" s="48"/>
      <c r="J49" s="56"/>
      <c r="K49" s="53">
        <f>'Moors League'!I44</f>
        <v>1</v>
      </c>
      <c r="L49" s="56"/>
      <c r="N49" s="102" t="str">
        <f>_xlfn.IFNA((VLOOKUP(L49,'DQ Lookup'!$A$2:$B$59,2,FALSE)),"")</f>
        <v/>
      </c>
      <c r="O49" s="110"/>
      <c r="P49" s="107">
        <f t="shared" si="2"/>
        <v>-29.76</v>
      </c>
    </row>
    <row r="50" spans="1:17" ht="21.75" customHeight="1" x14ac:dyDescent="0.25">
      <c r="A50" s="51">
        <v>37</v>
      </c>
      <c r="B50" s="36" t="s">
        <v>86</v>
      </c>
      <c r="C50" s="63" t="s">
        <v>107</v>
      </c>
      <c r="D50" s="455" t="s">
        <v>489</v>
      </c>
      <c r="E50" s="186"/>
      <c r="F50" s="95">
        <f>'Moors League'!H45</f>
        <v>23.71</v>
      </c>
      <c r="G50" s="75"/>
      <c r="H50" s="48"/>
      <c r="J50" s="56"/>
      <c r="K50" s="53">
        <f>'Moors League'!I45</f>
        <v>2</v>
      </c>
      <c r="L50" s="56"/>
      <c r="N50" s="102" t="str">
        <f>_xlfn.IFNA((VLOOKUP(L50,'DQ Lookup'!$A$2:$B$59,2,FALSE)),"")</f>
        <v/>
      </c>
      <c r="O50" s="111"/>
      <c r="P50" s="107">
        <f t="shared" si="2"/>
        <v>-23.71</v>
      </c>
    </row>
    <row r="51" spans="1:17" ht="21.75" customHeight="1" x14ac:dyDescent="0.25">
      <c r="A51" s="51">
        <v>38</v>
      </c>
      <c r="B51" s="36" t="s">
        <v>88</v>
      </c>
      <c r="C51" s="63" t="s">
        <v>107</v>
      </c>
      <c r="D51" s="455" t="s">
        <v>477</v>
      </c>
      <c r="E51" s="186"/>
      <c r="F51" s="95" t="str">
        <f>'Moors League'!H46</f>
        <v>DSQ</v>
      </c>
      <c r="G51" s="75"/>
      <c r="H51" s="48"/>
      <c r="J51" s="56"/>
      <c r="K51" s="53">
        <f>'Moors League'!I46</f>
        <v>0</v>
      </c>
      <c r="L51" s="56" t="s">
        <v>275</v>
      </c>
      <c r="N51" s="102" t="str">
        <f>_xlfn.IFNA((VLOOKUP(L51,'DQ Lookup'!$A$2:$B$59,2,FALSE)),"")</f>
        <v xml:space="preserve">Leg movements not simultaneous </v>
      </c>
      <c r="O51" s="111"/>
      <c r="P51" s="107" t="e">
        <f t="shared" si="2"/>
        <v>#VALUE!</v>
      </c>
    </row>
    <row r="52" spans="1:17" ht="21.75" customHeight="1" x14ac:dyDescent="0.2">
      <c r="A52" s="51">
        <v>39</v>
      </c>
      <c r="B52" s="36" t="s">
        <v>89</v>
      </c>
      <c r="C52" s="63" t="s">
        <v>81</v>
      </c>
      <c r="D52" s="455" t="s">
        <v>486</v>
      </c>
      <c r="E52" s="186"/>
      <c r="F52" s="95">
        <f>'Moors League'!H47</f>
        <v>37.159999999999997</v>
      </c>
      <c r="G52" s="75"/>
      <c r="H52" s="48"/>
      <c r="J52" s="56"/>
      <c r="K52" s="53">
        <f>'Moors League'!I47</f>
        <v>1</v>
      </c>
      <c r="L52" s="56"/>
      <c r="N52" s="102" t="str">
        <f>_xlfn.IFNA((VLOOKUP(L52,'DQ Lookup'!$A$2:$B$59,2,FALSE)),"")</f>
        <v/>
      </c>
      <c r="O52" s="110"/>
      <c r="P52" s="107">
        <f t="shared" si="2"/>
        <v>-37.159999999999997</v>
      </c>
    </row>
    <row r="53" spans="1:17" ht="21.75" customHeight="1" x14ac:dyDescent="0.2">
      <c r="A53" s="51">
        <v>40</v>
      </c>
      <c r="B53" s="36" t="s">
        <v>91</v>
      </c>
      <c r="C53" s="63" t="s">
        <v>81</v>
      </c>
      <c r="D53" s="455" t="s">
        <v>479</v>
      </c>
      <c r="E53" s="186"/>
      <c r="F53" s="95">
        <f>'Moors League'!H48</f>
        <v>36.76</v>
      </c>
      <c r="G53" s="75"/>
      <c r="H53" s="48"/>
      <c r="J53" s="56"/>
      <c r="K53" s="53">
        <f>'Moors League'!I48</f>
        <v>2</v>
      </c>
      <c r="L53" s="56"/>
      <c r="N53" s="102" t="str">
        <f>_xlfn.IFNA((VLOOKUP(L53,'DQ Lookup'!$A$2:$B$59,2,FALSE)),"")</f>
        <v/>
      </c>
      <c r="O53" s="110"/>
      <c r="P53" s="107">
        <f t="shared" si="2"/>
        <v>-36.76</v>
      </c>
    </row>
    <row r="54" spans="1:17" ht="21.75" customHeight="1" x14ac:dyDescent="0.25">
      <c r="A54" s="51">
        <v>41</v>
      </c>
      <c r="B54" s="36" t="s">
        <v>77</v>
      </c>
      <c r="C54" s="63" t="s">
        <v>186</v>
      </c>
      <c r="D54" s="455" t="s">
        <v>471</v>
      </c>
      <c r="E54" s="186"/>
      <c r="F54" s="190"/>
      <c r="G54" s="453" t="s">
        <v>495</v>
      </c>
      <c r="H54" s="191"/>
      <c r="I54" s="179"/>
      <c r="J54" s="56"/>
      <c r="K54" s="50"/>
      <c r="L54" s="56"/>
      <c r="M54" s="175"/>
      <c r="N54" s="102" t="str">
        <f>_xlfn.IFNA((VLOOKUP(L54,'DQ Lookup'!$A$2:$B$59,2,FALSE)),"")</f>
        <v/>
      </c>
      <c r="O54" s="111"/>
      <c r="P54" s="107"/>
      <c r="Q54" s="175"/>
    </row>
    <row r="55" spans="1:17" ht="21.75" customHeight="1" x14ac:dyDescent="0.25">
      <c r="A55" s="51"/>
      <c r="B55" s="36"/>
      <c r="C55" s="63"/>
      <c r="D55" s="455" t="s">
        <v>480</v>
      </c>
      <c r="E55" s="186"/>
      <c r="F55" s="190"/>
      <c r="G55" s="453" t="s">
        <v>482</v>
      </c>
      <c r="H55" s="191"/>
      <c r="I55" s="179"/>
      <c r="J55" s="55" t="str">
        <f>'Moors League'!H49</f>
        <v>2.08.32</v>
      </c>
      <c r="K55" s="53">
        <f>'Moors League'!I49</f>
        <v>1</v>
      </c>
      <c r="L55" s="56"/>
      <c r="M55" s="175"/>
      <c r="N55" s="102" t="str">
        <f>_xlfn.IFNA((VLOOKUP(L55,'DQ Lookup'!$A$2:$B$59,2,FALSE)),"")</f>
        <v/>
      </c>
      <c r="O55" s="111"/>
      <c r="P55" s="107">
        <f>0.03-0.06</f>
        <v>-0.03</v>
      </c>
      <c r="Q55" s="175"/>
    </row>
    <row r="56" spans="1:17" ht="21.75" customHeight="1" x14ac:dyDescent="0.25">
      <c r="A56" s="51">
        <v>42</v>
      </c>
      <c r="B56" s="36" t="s">
        <v>79</v>
      </c>
      <c r="C56" s="63" t="s">
        <v>186</v>
      </c>
      <c r="D56" s="455" t="s">
        <v>472</v>
      </c>
      <c r="E56" s="186"/>
      <c r="F56" s="190"/>
      <c r="G56" s="453" t="s">
        <v>485</v>
      </c>
      <c r="H56" s="191"/>
      <c r="I56" s="179"/>
      <c r="J56" s="83"/>
      <c r="K56" s="50"/>
      <c r="L56" s="56"/>
      <c r="N56" s="102" t="str">
        <f>_xlfn.IFNA((VLOOKUP(L56,'DQ Lookup'!$A$2:$B$59,2,FALSE)),"")</f>
        <v/>
      </c>
      <c r="O56" s="111"/>
      <c r="P56" s="107"/>
    </row>
    <row r="57" spans="1:17" ht="21.75" customHeight="1" x14ac:dyDescent="0.25">
      <c r="A57" s="51"/>
      <c r="B57" s="36"/>
      <c r="C57" s="63"/>
      <c r="D57" s="455" t="s">
        <v>475</v>
      </c>
      <c r="E57" s="186"/>
      <c r="F57" s="190"/>
      <c r="G57" s="453" t="s">
        <v>488</v>
      </c>
      <c r="H57" s="191"/>
      <c r="I57" s="179"/>
      <c r="J57" s="55" t="str">
        <f>'Moors League'!H50</f>
        <v>1.52.28</v>
      </c>
      <c r="K57" s="53">
        <f>'Moors League'!I50</f>
        <v>3</v>
      </c>
      <c r="L57" s="56"/>
      <c r="N57" s="102" t="str">
        <f>_xlfn.IFNA((VLOOKUP(L57,'DQ Lookup'!$A$2:$B$59,2,FALSE)),"")</f>
        <v/>
      </c>
      <c r="O57" s="111"/>
      <c r="P57" s="107">
        <f>6.59-6.72</f>
        <v>-0.12999999999999989</v>
      </c>
    </row>
    <row r="58" spans="1:17" ht="21.75" customHeight="1" x14ac:dyDescent="0.25">
      <c r="A58" s="51">
        <v>43</v>
      </c>
      <c r="B58" s="36" t="s">
        <v>80</v>
      </c>
      <c r="C58" s="63" t="s">
        <v>183</v>
      </c>
      <c r="D58" s="359" t="s">
        <v>483</v>
      </c>
      <c r="E58" s="188" t="s">
        <v>93</v>
      </c>
      <c r="F58" s="190"/>
      <c r="G58" s="359" t="s">
        <v>490</v>
      </c>
      <c r="H58" s="191" t="s">
        <v>94</v>
      </c>
      <c r="I58" s="179"/>
      <c r="J58" s="176"/>
      <c r="K58" s="50"/>
      <c r="L58" s="56"/>
      <c r="N58" s="102" t="str">
        <f>_xlfn.IFNA((VLOOKUP(L58,'DQ Lookup'!$A$2:$B$59,2,FALSE)),"")</f>
        <v/>
      </c>
      <c r="O58" s="111"/>
      <c r="P58" s="107"/>
    </row>
    <row r="59" spans="1:17" ht="21.75" customHeight="1" x14ac:dyDescent="0.2">
      <c r="A59" s="51"/>
      <c r="B59" s="36"/>
      <c r="C59" s="63"/>
      <c r="D59" s="359" t="s">
        <v>473</v>
      </c>
      <c r="E59" s="188" t="s">
        <v>95</v>
      </c>
      <c r="F59" s="190"/>
      <c r="G59" s="359" t="s">
        <v>476</v>
      </c>
      <c r="H59" s="177" t="s">
        <v>96</v>
      </c>
      <c r="I59" s="179"/>
      <c r="J59" s="55" t="str">
        <f>'Moors League'!H51</f>
        <v>2.47.26</v>
      </c>
      <c r="K59" s="53">
        <f>'Moors League'!I51</f>
        <v>3</v>
      </c>
      <c r="L59" s="56"/>
      <c r="M59" s="195"/>
      <c r="N59" s="102" t="str">
        <f>_xlfn.IFNA((VLOOKUP(L59,'DQ Lookup'!$A$2:$B$59,2,FALSE)),"")</f>
        <v/>
      </c>
      <c r="O59" s="110"/>
      <c r="P59" s="107"/>
      <c r="Q59" s="74"/>
    </row>
    <row r="60" spans="1:17" ht="21.75" customHeight="1" x14ac:dyDescent="0.25">
      <c r="A60" s="51">
        <v>44</v>
      </c>
      <c r="B60" s="36" t="s">
        <v>82</v>
      </c>
      <c r="C60" s="63" t="s">
        <v>183</v>
      </c>
      <c r="D60" s="359" t="s">
        <v>481</v>
      </c>
      <c r="E60" s="188" t="s">
        <v>93</v>
      </c>
      <c r="F60" s="190"/>
      <c r="G60" s="359" t="s">
        <v>491</v>
      </c>
      <c r="H60" s="125" t="s">
        <v>94</v>
      </c>
      <c r="I60" s="179"/>
      <c r="J60" s="56"/>
      <c r="K60" s="50"/>
      <c r="L60" s="56"/>
      <c r="N60" s="102" t="str">
        <f>_xlfn.IFNA((VLOOKUP(L60,'DQ Lookup'!$A$2:$B$59,2,FALSE)),"")</f>
        <v/>
      </c>
      <c r="O60" s="111"/>
      <c r="P60" s="107"/>
    </row>
    <row r="61" spans="1:17" ht="21.75" customHeight="1" x14ac:dyDescent="0.25">
      <c r="A61" s="51"/>
      <c r="B61" s="36"/>
      <c r="C61" s="63"/>
      <c r="D61" s="359" t="s">
        <v>474</v>
      </c>
      <c r="E61" s="188" t="s">
        <v>95</v>
      </c>
      <c r="F61" s="190"/>
      <c r="G61" s="359" t="s">
        <v>492</v>
      </c>
      <c r="H61" s="125" t="s">
        <v>96</v>
      </c>
      <c r="I61" s="179"/>
      <c r="J61" s="55" t="str">
        <f>'Moors League'!H52</f>
        <v>DSQ</v>
      </c>
      <c r="K61" s="53">
        <f>'Moors League'!I52</f>
        <v>0</v>
      </c>
      <c r="L61" s="56">
        <v>5.0999999999999996</v>
      </c>
      <c r="N61" s="102" t="str">
        <f>_xlfn.IFNA((VLOOKUP(L61,'DQ Lookup'!$A$2:$B$59,2,FALSE)),"")</f>
        <v>Fly, Back, Breast, swam in the Free section</v>
      </c>
      <c r="O61" s="111"/>
      <c r="P61" s="107"/>
      <c r="Q61" s="1" t="s">
        <v>94</v>
      </c>
    </row>
    <row r="62" spans="1:17" ht="21.75" customHeight="1" x14ac:dyDescent="0.2">
      <c r="A62" s="51">
        <v>45</v>
      </c>
      <c r="B62" s="36" t="s">
        <v>89</v>
      </c>
      <c r="C62" s="63" t="s">
        <v>108</v>
      </c>
      <c r="D62" s="455" t="s">
        <v>482</v>
      </c>
      <c r="E62" s="186"/>
      <c r="F62" s="95">
        <f>'Moors League'!H53</f>
        <v>32.229999999999997</v>
      </c>
      <c r="G62" s="75"/>
      <c r="H62" s="48"/>
      <c r="J62" s="56"/>
      <c r="K62" s="53">
        <f>'Moors League'!I53</f>
        <v>2</v>
      </c>
      <c r="L62" s="56"/>
      <c r="N62" s="102" t="str">
        <f>_xlfn.IFNA((VLOOKUP(L62,'DQ Lookup'!$A$2:$B$59,2,FALSE)),"")</f>
        <v/>
      </c>
      <c r="O62" s="110"/>
      <c r="P62" s="107">
        <f t="shared" ref="P62:P71" si="3">O62-F62</f>
        <v>-32.229999999999997</v>
      </c>
    </row>
    <row r="63" spans="1:17" ht="21.75" customHeight="1" x14ac:dyDescent="0.2">
      <c r="A63" s="51">
        <v>46</v>
      </c>
      <c r="B63" s="36" t="s">
        <v>91</v>
      </c>
      <c r="C63" s="63" t="s">
        <v>108</v>
      </c>
      <c r="D63" s="455" t="s">
        <v>487</v>
      </c>
      <c r="E63" s="186"/>
      <c r="F63" s="95">
        <f>'Moors League'!H54</f>
        <v>36.04</v>
      </c>
      <c r="G63" s="75"/>
      <c r="H63" s="48"/>
      <c r="J63" s="56"/>
      <c r="K63" s="53">
        <f>'Moors League'!I54</f>
        <v>1</v>
      </c>
      <c r="L63" s="56"/>
      <c r="N63" s="102" t="str">
        <f>_xlfn.IFNA((VLOOKUP(L63,'DQ Lookup'!$A$2:$B$59,2,FALSE)),"")</f>
        <v/>
      </c>
      <c r="O63" s="110"/>
      <c r="P63" s="107">
        <f t="shared" si="3"/>
        <v>-36.04</v>
      </c>
    </row>
    <row r="64" spans="1:17" ht="21.75" customHeight="1" x14ac:dyDescent="0.25">
      <c r="A64" s="51">
        <v>47</v>
      </c>
      <c r="B64" s="36" t="s">
        <v>86</v>
      </c>
      <c r="C64" s="63" t="s">
        <v>109</v>
      </c>
      <c r="D64" s="455" t="s">
        <v>483</v>
      </c>
      <c r="E64" s="186"/>
      <c r="F64" s="95">
        <f>'Moors League'!H55</f>
        <v>18.78</v>
      </c>
      <c r="G64" s="75"/>
      <c r="H64" s="48"/>
      <c r="J64" s="56"/>
      <c r="K64" s="53">
        <f>'Moors League'!I55</f>
        <v>4</v>
      </c>
      <c r="L64" s="56"/>
      <c r="N64" s="102" t="str">
        <f>_xlfn.IFNA((VLOOKUP(L64,'DQ Lookup'!$A$2:$B$59,2,FALSE)),"")</f>
        <v/>
      </c>
      <c r="O64" s="111"/>
      <c r="P64" s="107">
        <f t="shared" si="3"/>
        <v>-18.78</v>
      </c>
    </row>
    <row r="65" spans="1:17" ht="21.75" customHeight="1" x14ac:dyDescent="0.25">
      <c r="A65" s="51">
        <v>48</v>
      </c>
      <c r="B65" s="36" t="s">
        <v>88</v>
      </c>
      <c r="C65" s="63" t="s">
        <v>109</v>
      </c>
      <c r="D65" s="455" t="s">
        <v>477</v>
      </c>
      <c r="E65" s="186"/>
      <c r="F65" s="95" t="str">
        <f>'Moors League'!H56</f>
        <v>DSQ</v>
      </c>
      <c r="G65" s="75"/>
      <c r="H65" s="48"/>
      <c r="J65" s="56"/>
      <c r="K65" s="53">
        <f>'Moors League'!I56</f>
        <v>0</v>
      </c>
      <c r="L65" s="56" t="s">
        <v>280</v>
      </c>
      <c r="N65" s="102" t="str">
        <f>_xlfn.IFNA((VLOOKUP(L65,'DQ Lookup'!$A$2:$B$59,2,FALSE)),"")</f>
        <v>Alternating movement of legs or feet</v>
      </c>
      <c r="O65" s="111"/>
      <c r="P65" s="107" t="e">
        <f t="shared" si="3"/>
        <v>#VALUE!</v>
      </c>
    </row>
    <row r="66" spans="1:17" ht="21.75" customHeight="1" x14ac:dyDescent="0.2">
      <c r="A66" s="51">
        <v>49</v>
      </c>
      <c r="B66" s="36" t="s">
        <v>83</v>
      </c>
      <c r="C66" s="63" t="s">
        <v>110</v>
      </c>
      <c r="D66" s="455" t="s">
        <v>496</v>
      </c>
      <c r="E66" s="186"/>
      <c r="F66" s="95">
        <f>'Moors League'!H57</f>
        <v>40.71</v>
      </c>
      <c r="G66" s="75"/>
      <c r="H66" s="48"/>
      <c r="J66" s="56"/>
      <c r="K66" s="53">
        <f>'Moors League'!I57</f>
        <v>1</v>
      </c>
      <c r="L66" s="56"/>
      <c r="N66" s="102" t="str">
        <f>_xlfn.IFNA((VLOOKUP(L66,'DQ Lookup'!$A$2:$B$59,2,FALSE)),"")</f>
        <v/>
      </c>
      <c r="O66" s="110"/>
      <c r="P66" s="107">
        <f t="shared" si="3"/>
        <v>-40.71</v>
      </c>
    </row>
    <row r="67" spans="1:17" ht="21.75" customHeight="1" x14ac:dyDescent="0.2">
      <c r="A67" s="51">
        <v>50</v>
      </c>
      <c r="B67" s="36" t="s">
        <v>85</v>
      </c>
      <c r="C67" s="63" t="s">
        <v>110</v>
      </c>
      <c r="D67" s="455" t="s">
        <v>475</v>
      </c>
      <c r="E67" s="186"/>
      <c r="F67" s="95">
        <f>'Moors League'!H58</f>
        <v>32.51</v>
      </c>
      <c r="G67" s="75"/>
      <c r="H67" s="48"/>
      <c r="J67" s="56"/>
      <c r="K67" s="53">
        <f>'Moors League'!I58</f>
        <v>3</v>
      </c>
      <c r="L67" s="83"/>
      <c r="N67" s="102" t="str">
        <f>_xlfn.IFNA((VLOOKUP(L67,'DQ Lookup'!$A$2:$B$59,2,FALSE)),"")</f>
        <v/>
      </c>
      <c r="O67" s="110"/>
      <c r="P67" s="107">
        <f t="shared" si="3"/>
        <v>-32.51</v>
      </c>
    </row>
    <row r="68" spans="1:17" ht="33.75" customHeight="1" x14ac:dyDescent="0.2">
      <c r="A68" s="51">
        <v>51</v>
      </c>
      <c r="B68" s="36" t="s">
        <v>80</v>
      </c>
      <c r="C68" s="63" t="s">
        <v>97</v>
      </c>
      <c r="D68" s="455" t="s">
        <v>490</v>
      </c>
      <c r="E68" s="186"/>
      <c r="F68" s="95">
        <f>'Moors League'!H59</f>
        <v>47.51</v>
      </c>
      <c r="G68" s="75"/>
      <c r="H68" s="48"/>
      <c r="J68" s="56"/>
      <c r="K68" s="53">
        <f>'Moors League'!I59</f>
        <v>3</v>
      </c>
      <c r="L68" s="56"/>
      <c r="N68" s="102" t="str">
        <f>_xlfn.IFNA((VLOOKUP(L68,'DQ Lookup'!$A$2:$B$59,2,FALSE)),"")</f>
        <v/>
      </c>
      <c r="O68" s="110"/>
      <c r="P68" s="107">
        <f>3.09-3.24</f>
        <v>-0.15000000000000036</v>
      </c>
    </row>
    <row r="69" spans="1:17" ht="21.75" customHeight="1" x14ac:dyDescent="0.2">
      <c r="A69" s="51">
        <v>52</v>
      </c>
      <c r="B69" s="36" t="s">
        <v>82</v>
      </c>
      <c r="C69" s="63" t="s">
        <v>97</v>
      </c>
      <c r="D69" s="455" t="s">
        <v>491</v>
      </c>
      <c r="E69" s="186"/>
      <c r="F69" s="95">
        <f>'Moors League'!H60</f>
        <v>55.16</v>
      </c>
      <c r="G69" s="75"/>
      <c r="H69" s="48"/>
      <c r="J69" s="56"/>
      <c r="K69" s="53">
        <f>'Moors League'!I60</f>
        <v>1</v>
      </c>
      <c r="L69" s="56"/>
      <c r="N69" s="102" t="str">
        <f>_xlfn.IFNA((VLOOKUP(L69,'DQ Lookup'!$A$2:$B$59,2,FALSE)),"")</f>
        <v/>
      </c>
      <c r="O69" s="110"/>
      <c r="P69" s="107">
        <f t="shared" si="3"/>
        <v>-55.16</v>
      </c>
    </row>
    <row r="70" spans="1:17" ht="21.75" customHeight="1" x14ac:dyDescent="0.2">
      <c r="A70" s="51">
        <v>53</v>
      </c>
      <c r="B70" s="36" t="s">
        <v>77</v>
      </c>
      <c r="C70" s="63" t="s">
        <v>101</v>
      </c>
      <c r="D70" s="455" t="s">
        <v>471</v>
      </c>
      <c r="E70" s="186"/>
      <c r="F70" s="95">
        <f>'Moors League'!H61</f>
        <v>29.99</v>
      </c>
      <c r="G70" s="75"/>
      <c r="H70" s="48"/>
      <c r="J70" s="56"/>
      <c r="K70" s="53">
        <f>'Moors League'!I61</f>
        <v>3</v>
      </c>
      <c r="L70" s="56"/>
      <c r="N70" s="102" t="str">
        <f>_xlfn.IFNA((VLOOKUP(L70,'DQ Lookup'!$A$2:$B$59,2,FALSE)),"")</f>
        <v/>
      </c>
      <c r="O70" s="110"/>
      <c r="P70" s="107">
        <f t="shared" si="3"/>
        <v>-29.99</v>
      </c>
    </row>
    <row r="71" spans="1:17" ht="21.75" customHeight="1" x14ac:dyDescent="0.2">
      <c r="A71" s="51">
        <v>54</v>
      </c>
      <c r="B71" s="36" t="s">
        <v>79</v>
      </c>
      <c r="C71" s="63" t="s">
        <v>101</v>
      </c>
      <c r="D71" s="455" t="s">
        <v>485</v>
      </c>
      <c r="E71" s="186"/>
      <c r="F71" s="95">
        <f>'Moors League'!H62</f>
        <v>27.04</v>
      </c>
      <c r="G71" s="75"/>
      <c r="H71" s="48"/>
      <c r="J71" s="56"/>
      <c r="K71" s="53">
        <f>'Moors League'!I62</f>
        <v>3</v>
      </c>
      <c r="L71" s="56"/>
      <c r="N71" s="102" t="str">
        <f>_xlfn.IFNA((VLOOKUP(L71,'DQ Lookup'!$A$2:$B$59,2,FALSE)),"")</f>
        <v/>
      </c>
      <c r="O71" s="110"/>
      <c r="P71" s="107">
        <f t="shared" si="3"/>
        <v>-27.04</v>
      </c>
    </row>
    <row r="72" spans="1:17" ht="21.75" customHeight="1" x14ac:dyDescent="0.2">
      <c r="A72" s="51">
        <v>55</v>
      </c>
      <c r="B72" s="36" t="s">
        <v>89</v>
      </c>
      <c r="C72" s="63" t="s">
        <v>186</v>
      </c>
      <c r="D72" s="455" t="s">
        <v>482</v>
      </c>
      <c r="E72" s="186"/>
      <c r="F72" s="190"/>
      <c r="G72" s="453" t="s">
        <v>486</v>
      </c>
      <c r="H72" s="97"/>
      <c r="I72" s="179"/>
      <c r="J72" s="56"/>
      <c r="K72" s="50"/>
      <c r="L72" s="56"/>
      <c r="N72" s="102" t="str">
        <f>_xlfn.IFNA((VLOOKUP(L72,'DQ Lookup'!$A$2:$B$59,2,FALSE)),"")</f>
        <v/>
      </c>
      <c r="O72" s="110"/>
      <c r="P72" s="107"/>
    </row>
    <row r="73" spans="1:17" ht="21.75" customHeight="1" x14ac:dyDescent="0.25">
      <c r="A73" s="51"/>
      <c r="B73" s="36"/>
      <c r="C73" s="63"/>
      <c r="D73" s="455" t="s">
        <v>478</v>
      </c>
      <c r="E73" s="186"/>
      <c r="F73" s="190"/>
      <c r="G73" s="453" t="s">
        <v>483</v>
      </c>
      <c r="H73" s="98"/>
      <c r="I73" s="179"/>
      <c r="J73" s="55" t="str">
        <f>'Moors League'!H63</f>
        <v>2.16.81</v>
      </c>
      <c r="K73" s="53">
        <f>'Moors League'!I63</f>
        <v>2</v>
      </c>
      <c r="L73" s="56"/>
      <c r="N73" s="102" t="str">
        <f>_xlfn.IFNA((VLOOKUP(L73,'DQ Lookup'!$A$2:$B$59,2,FALSE)),"")</f>
        <v/>
      </c>
      <c r="O73" s="111"/>
      <c r="P73" s="107">
        <f>9.69-9.9</f>
        <v>-0.21000000000000085</v>
      </c>
    </row>
    <row r="74" spans="1:17" ht="21.75" customHeight="1" x14ac:dyDescent="0.2">
      <c r="A74" s="51">
        <v>56</v>
      </c>
      <c r="B74" s="36" t="s">
        <v>91</v>
      </c>
      <c r="C74" s="63" t="s">
        <v>186</v>
      </c>
      <c r="D74" s="455" t="s">
        <v>479</v>
      </c>
      <c r="E74" s="186"/>
      <c r="F74" s="190"/>
      <c r="G74" s="453" t="s">
        <v>487</v>
      </c>
      <c r="H74" s="97"/>
      <c r="I74" s="179"/>
      <c r="J74" s="56"/>
      <c r="K74" s="50"/>
      <c r="L74" s="56"/>
      <c r="N74" s="102" t="str">
        <f>_xlfn.IFNA((VLOOKUP(L74,'DQ Lookup'!$A$2:$B$59,2,FALSE)),"")</f>
        <v/>
      </c>
      <c r="O74" s="110"/>
      <c r="P74" s="107"/>
    </row>
    <row r="75" spans="1:17" ht="21.75" customHeight="1" x14ac:dyDescent="0.25">
      <c r="A75" s="51"/>
      <c r="B75" s="36"/>
      <c r="C75" s="63"/>
      <c r="D75" s="455" t="s">
        <v>474</v>
      </c>
      <c r="E75" s="186"/>
      <c r="F75" s="190"/>
      <c r="G75" s="453" t="s">
        <v>494</v>
      </c>
      <c r="H75" s="97"/>
      <c r="I75" s="179"/>
      <c r="J75" s="55" t="str">
        <f>'Moors League'!H64</f>
        <v>2.23.33</v>
      </c>
      <c r="K75" s="53">
        <f>'Moors League'!I64</f>
        <v>3</v>
      </c>
      <c r="L75" s="56"/>
      <c r="N75" s="486" t="str">
        <f>_xlfn.IFNA((VLOOKUP(L75,'DQ Lookup'!$A$2:$B$59,2,FALSE)),"")</f>
        <v/>
      </c>
      <c r="O75" s="111"/>
      <c r="P75" s="107">
        <f>3.78-3.88</f>
        <v>-0.10000000000000009</v>
      </c>
      <c r="Q75" s="57"/>
    </row>
    <row r="76" spans="1:17" ht="21.75" customHeight="1" x14ac:dyDescent="0.25">
      <c r="A76" s="51">
        <v>57</v>
      </c>
      <c r="B76" s="36" t="s">
        <v>102</v>
      </c>
      <c r="C76" s="63" t="s">
        <v>92</v>
      </c>
      <c r="D76" s="455" t="s">
        <v>476</v>
      </c>
      <c r="E76" s="188" t="s">
        <v>93</v>
      </c>
      <c r="F76" s="190"/>
      <c r="G76" s="453" t="s">
        <v>489</v>
      </c>
      <c r="H76" s="98" t="s">
        <v>94</v>
      </c>
      <c r="I76" s="179"/>
      <c r="J76" s="484"/>
      <c r="K76" s="484"/>
      <c r="L76" s="56"/>
      <c r="N76" s="486"/>
      <c r="O76" s="111"/>
      <c r="P76" s="107"/>
    </row>
    <row r="77" spans="1:17" ht="21.75" customHeight="1" x14ac:dyDescent="0.25">
      <c r="A77" s="51"/>
      <c r="B77" s="36"/>
      <c r="C77" s="152"/>
      <c r="D77" s="455" t="s">
        <v>483</v>
      </c>
      <c r="E77" s="188" t="s">
        <v>95</v>
      </c>
      <c r="F77" s="190"/>
      <c r="G77" s="453" t="s">
        <v>493</v>
      </c>
      <c r="H77" s="98" t="s">
        <v>96</v>
      </c>
      <c r="I77" s="179"/>
      <c r="J77" s="55" t="str">
        <f>'Moors League'!H65</f>
        <v>1.36.81</v>
      </c>
      <c r="K77" s="53">
        <f>'Moors League'!I65</f>
        <v>4</v>
      </c>
      <c r="L77" s="56"/>
      <c r="N77" s="102" t="str">
        <f>_xlfn.IFNA((VLOOKUP(L77,'DQ Lookup'!$A$2:$B$59,2,FALSE)),"")</f>
        <v/>
      </c>
      <c r="O77" s="111"/>
      <c r="P77" s="107"/>
    </row>
    <row r="78" spans="1:17" ht="21.75" customHeight="1" x14ac:dyDescent="0.25">
      <c r="A78" s="51">
        <v>58</v>
      </c>
      <c r="B78" s="36" t="s">
        <v>103</v>
      </c>
      <c r="C78" s="63" t="s">
        <v>92</v>
      </c>
      <c r="D78" s="455"/>
      <c r="E78" s="188" t="s">
        <v>93</v>
      </c>
      <c r="F78" s="190"/>
      <c r="G78" s="453"/>
      <c r="H78" s="98" t="s">
        <v>94</v>
      </c>
      <c r="I78" s="179"/>
      <c r="J78" s="480"/>
      <c r="K78" s="481"/>
      <c r="L78" s="481"/>
      <c r="M78" s="481"/>
      <c r="N78" s="481"/>
      <c r="O78" s="111"/>
      <c r="P78" s="107"/>
    </row>
    <row r="79" spans="1:17" ht="21.75" customHeight="1" x14ac:dyDescent="0.25">
      <c r="A79" s="51"/>
      <c r="B79" s="36"/>
      <c r="C79" s="63"/>
      <c r="D79" s="455"/>
      <c r="E79" s="188" t="s">
        <v>95</v>
      </c>
      <c r="F79" s="190"/>
      <c r="G79" s="453"/>
      <c r="H79" s="98" t="s">
        <v>96</v>
      </c>
      <c r="I79" s="179"/>
      <c r="J79" s="55" t="str">
        <f>'Moors League'!H66</f>
        <v>DNS</v>
      </c>
      <c r="K79" s="53">
        <f>'Moors League'!I66</f>
        <v>0</v>
      </c>
      <c r="L79" s="56"/>
      <c r="N79" s="102" t="str">
        <f>_xlfn.IFNA((VLOOKUP(L79,'DQ Lookup'!$A$2:$B$59,2,FALSE)),"")</f>
        <v/>
      </c>
      <c r="O79" s="111"/>
      <c r="P79" s="107"/>
    </row>
    <row r="80" spans="1:17" ht="21.75" customHeight="1" x14ac:dyDescent="0.25">
      <c r="A80" s="51">
        <v>59</v>
      </c>
      <c r="B80" s="36" t="s">
        <v>111</v>
      </c>
      <c r="C80" s="63" t="s">
        <v>186</v>
      </c>
      <c r="D80" s="455" t="s">
        <v>482</v>
      </c>
      <c r="E80" s="186"/>
      <c r="F80" s="190"/>
      <c r="G80" s="453" t="s">
        <v>484</v>
      </c>
      <c r="H80" s="98"/>
      <c r="I80" s="179"/>
      <c r="J80" s="56"/>
      <c r="K80" s="50"/>
      <c r="L80" s="56"/>
      <c r="N80" s="102" t="str">
        <f>_xlfn.IFNA((VLOOKUP(L80,'DQ Lookup'!$A$2:$B$59,2,FALSE)),"")</f>
        <v/>
      </c>
      <c r="O80" s="111"/>
      <c r="P80" s="107"/>
    </row>
    <row r="81" spans="1:16" ht="21.75" customHeight="1" x14ac:dyDescent="0.25">
      <c r="A81" s="51"/>
      <c r="B81" s="36"/>
      <c r="C81" s="63"/>
      <c r="D81" s="455" t="s">
        <v>496</v>
      </c>
      <c r="E81" s="186"/>
      <c r="F81" s="190"/>
      <c r="G81" s="453" t="s">
        <v>486</v>
      </c>
      <c r="H81" s="98"/>
      <c r="I81" s="179"/>
      <c r="J81" s="55" t="str">
        <f>'Moors League'!H67</f>
        <v>2.17.18</v>
      </c>
      <c r="K81" s="53">
        <f>'Moors League'!I67</f>
        <v>1</v>
      </c>
      <c r="L81" s="56"/>
      <c r="N81" s="102" t="str">
        <f>_xlfn.IFNA((VLOOKUP(L81,'DQ Lookup'!$A$2:$B$59,2,FALSE)),"")</f>
        <v/>
      </c>
      <c r="O81" s="111"/>
      <c r="P81" s="107">
        <f>7.69-7.97</f>
        <v>-0.27999999999999936</v>
      </c>
    </row>
    <row r="82" spans="1:16" ht="21.75" customHeight="1" x14ac:dyDescent="0.25">
      <c r="A82" s="51">
        <v>60</v>
      </c>
      <c r="B82" s="36" t="s">
        <v>104</v>
      </c>
      <c r="C82" s="63" t="s">
        <v>186</v>
      </c>
      <c r="D82" s="455" t="s">
        <v>475</v>
      </c>
      <c r="E82" s="186"/>
      <c r="F82" s="190"/>
      <c r="G82" s="453" t="s">
        <v>488</v>
      </c>
      <c r="H82" s="97"/>
      <c r="I82" s="179"/>
      <c r="J82" s="176"/>
      <c r="K82" s="50"/>
      <c r="L82" s="56"/>
      <c r="N82" s="102" t="str">
        <f>_xlfn.IFNA((VLOOKUP(L82,'DQ Lookup'!$A$2:$B$59,2,FALSE)),"")</f>
        <v/>
      </c>
      <c r="O82" s="111"/>
      <c r="P82" s="107"/>
    </row>
    <row r="83" spans="1:16" ht="21.75" customHeight="1" x14ac:dyDescent="0.25">
      <c r="A83" s="51"/>
      <c r="B83" s="36"/>
      <c r="C83" s="63"/>
      <c r="D83" s="455" t="s">
        <v>479</v>
      </c>
      <c r="E83" s="186"/>
      <c r="F83" s="190"/>
      <c r="G83" s="453" t="s">
        <v>487</v>
      </c>
      <c r="H83" s="97"/>
      <c r="I83" s="179"/>
      <c r="J83" s="55" t="str">
        <f>'Moors League'!H68</f>
        <v>2.07.42</v>
      </c>
      <c r="K83" s="53">
        <f>'Moors League'!I68</f>
        <v>2</v>
      </c>
      <c r="L83" s="56"/>
      <c r="N83" s="102" t="str">
        <f>_xlfn.IFNA((VLOOKUP(L83,'DQ Lookup'!$A$2:$B$59,2,FALSE)),"")</f>
        <v/>
      </c>
      <c r="O83" s="111"/>
      <c r="P83" s="107">
        <f>1.72-1.9</f>
        <v>-0.17999999999999994</v>
      </c>
    </row>
    <row r="84" spans="1:16" ht="21.75" customHeight="1" x14ac:dyDescent="0.25">
      <c r="A84" s="51">
        <v>61</v>
      </c>
      <c r="B84" s="36" t="s">
        <v>113</v>
      </c>
      <c r="C84" s="63" t="s">
        <v>185</v>
      </c>
      <c r="D84" s="453" t="s">
        <v>483</v>
      </c>
      <c r="E84" s="182"/>
      <c r="F84" s="190"/>
      <c r="G84" s="453" t="s">
        <v>477</v>
      </c>
      <c r="H84" s="98"/>
      <c r="I84" s="179"/>
      <c r="J84" s="56"/>
      <c r="K84" s="50"/>
      <c r="L84" s="56"/>
      <c r="N84" s="102" t="str">
        <f>_xlfn.IFNA((VLOOKUP(L84,'DQ Lookup'!$A$2:$B$59,2,FALSE)),"")</f>
        <v/>
      </c>
      <c r="O84" s="111"/>
      <c r="P84" s="107"/>
    </row>
    <row r="85" spans="1:16" ht="21.75" customHeight="1" x14ac:dyDescent="0.25">
      <c r="A85" s="51"/>
      <c r="B85" s="36"/>
      <c r="C85" s="63"/>
      <c r="D85" s="453" t="s">
        <v>490</v>
      </c>
      <c r="E85" s="182"/>
      <c r="F85" s="190"/>
      <c r="G85" s="457" t="s">
        <v>474</v>
      </c>
      <c r="H85" s="97"/>
      <c r="I85" s="179"/>
      <c r="J85" s="479"/>
      <c r="K85" s="479"/>
      <c r="L85" s="479"/>
      <c r="M85" s="479"/>
      <c r="N85" s="479"/>
      <c r="O85" s="111"/>
      <c r="P85" s="107"/>
    </row>
    <row r="86" spans="1:16" ht="21.75" customHeight="1" x14ac:dyDescent="0.25">
      <c r="A86" s="51"/>
      <c r="B86" s="36"/>
      <c r="C86" s="63"/>
      <c r="D86" s="455" t="s">
        <v>482</v>
      </c>
      <c r="E86" s="186"/>
      <c r="F86" s="190"/>
      <c r="G86" s="453" t="s">
        <v>479</v>
      </c>
      <c r="H86" s="98"/>
      <c r="I86" s="179"/>
      <c r="J86" s="479"/>
      <c r="K86" s="479"/>
      <c r="L86" s="479"/>
      <c r="M86" s="479"/>
      <c r="N86" s="479"/>
      <c r="O86" s="111"/>
      <c r="P86" s="107"/>
    </row>
    <row r="87" spans="1:16" ht="21.75" customHeight="1" x14ac:dyDescent="0.25">
      <c r="A87" s="51" t="s">
        <v>114</v>
      </c>
      <c r="B87" s="36"/>
      <c r="C87" s="63"/>
      <c r="D87" s="453" t="s">
        <v>497</v>
      </c>
      <c r="E87" s="182"/>
      <c r="F87" s="190"/>
      <c r="G87" s="453" t="s">
        <v>475</v>
      </c>
      <c r="H87" s="97"/>
      <c r="I87" s="179"/>
      <c r="J87" s="479"/>
      <c r="K87" s="479"/>
      <c r="L87" s="479"/>
      <c r="M87" s="479"/>
      <c r="N87" s="479"/>
      <c r="O87" s="111"/>
      <c r="P87" s="107"/>
    </row>
    <row r="88" spans="1:16" ht="21.75" customHeight="1" thickBot="1" x14ac:dyDescent="0.3">
      <c r="A88" s="51"/>
      <c r="B88" s="36"/>
      <c r="C88" s="63"/>
      <c r="D88" s="453" t="s">
        <v>471</v>
      </c>
      <c r="E88" s="182"/>
      <c r="F88" s="190"/>
      <c r="G88" s="453" t="s">
        <v>485</v>
      </c>
      <c r="H88" s="192"/>
      <c r="I88" s="180"/>
      <c r="J88" s="178" t="str">
        <f>'Moors League'!H69</f>
        <v>5.40.32</v>
      </c>
      <c r="K88" s="61">
        <f>'Moors League'!I69</f>
        <v>1</v>
      </c>
      <c r="L88" s="56"/>
      <c r="N88" s="102" t="str">
        <f>_xlfn.IFNA((VLOOKUP(L88,'DQ Lookup'!$A$2:$B$59,2,FALSE)),"")</f>
        <v/>
      </c>
      <c r="O88" s="111"/>
      <c r="P88" s="107">
        <f>9.78-9.94</f>
        <v>-0.16000000000000014</v>
      </c>
    </row>
    <row r="89" spans="1:16" ht="24.75" customHeight="1" thickBot="1" x14ac:dyDescent="0.25">
      <c r="F89" s="57"/>
      <c r="H89" s="482" t="s">
        <v>71</v>
      </c>
      <c r="I89" s="482"/>
      <c r="J89" s="482"/>
      <c r="K89" s="58">
        <f>SUM(K4:K88)</f>
        <v>121</v>
      </c>
      <c r="L89" s="56"/>
      <c r="N89" s="102"/>
    </row>
    <row r="90" spans="1:16" x14ac:dyDescent="0.2">
      <c r="L90" s="57"/>
      <c r="N90" s="102"/>
    </row>
    <row r="91" spans="1:16" x14ac:dyDescent="0.2">
      <c r="L91" s="57"/>
      <c r="N91" s="102"/>
    </row>
    <row r="92" spans="1:16" x14ac:dyDescent="0.2">
      <c r="L92" s="57"/>
      <c r="N92" s="102"/>
    </row>
    <row r="93" spans="1:16" x14ac:dyDescent="0.2">
      <c r="L93" s="57"/>
      <c r="N93" s="102"/>
    </row>
    <row r="94" spans="1:16" x14ac:dyDescent="0.2">
      <c r="L94" s="57"/>
      <c r="N94" s="102"/>
    </row>
    <row r="95" spans="1:16" x14ac:dyDescent="0.2">
      <c r="L95" s="57"/>
      <c r="N95" s="102"/>
    </row>
    <row r="96" spans="1:16" x14ac:dyDescent="0.2">
      <c r="L96" s="57"/>
      <c r="N96" s="102"/>
    </row>
    <row r="97" spans="12:14" x14ac:dyDescent="0.2">
      <c r="L97" s="57"/>
      <c r="N97" s="102"/>
    </row>
    <row r="98" spans="12:14" x14ac:dyDescent="0.2">
      <c r="L98" s="57"/>
      <c r="N98" s="102"/>
    </row>
    <row r="99" spans="12:14" x14ac:dyDescent="0.2">
      <c r="L99" s="57"/>
      <c r="N99" s="102"/>
    </row>
    <row r="100" spans="12:14" x14ac:dyDescent="0.2">
      <c r="L100" s="57"/>
      <c r="N100" s="102"/>
    </row>
    <row r="101" spans="12:14" x14ac:dyDescent="0.2">
      <c r="L101" s="57"/>
      <c r="N101" s="102"/>
    </row>
    <row r="102" spans="12:14" x14ac:dyDescent="0.2">
      <c r="L102" s="57"/>
      <c r="N102" s="102"/>
    </row>
    <row r="103" spans="12:14" x14ac:dyDescent="0.2">
      <c r="L103" s="57"/>
      <c r="N103" s="102"/>
    </row>
    <row r="104" spans="12:14" x14ac:dyDescent="0.2">
      <c r="L104" s="57"/>
      <c r="N104" s="102"/>
    </row>
    <row r="105" spans="12:14" x14ac:dyDescent="0.2">
      <c r="L105" s="57"/>
      <c r="N105" s="102"/>
    </row>
    <row r="106" spans="12:14" x14ac:dyDescent="0.2">
      <c r="L106" s="57"/>
      <c r="N106" s="102"/>
    </row>
    <row r="107" spans="12:14" x14ac:dyDescent="0.2">
      <c r="L107" s="57"/>
      <c r="N107" s="102"/>
    </row>
    <row r="108" spans="12:14" x14ac:dyDescent="0.2">
      <c r="L108" s="57"/>
      <c r="N108" s="102"/>
    </row>
    <row r="109" spans="12:14" x14ac:dyDescent="0.2">
      <c r="L109" s="57"/>
      <c r="N109" s="102"/>
    </row>
    <row r="110" spans="12:14" x14ac:dyDescent="0.2">
      <c r="L110" s="57"/>
      <c r="N110" s="102"/>
    </row>
    <row r="111" spans="12:14" x14ac:dyDescent="0.2">
      <c r="L111" s="57"/>
      <c r="N111" s="102"/>
    </row>
    <row r="112" spans="12:14" x14ac:dyDescent="0.2">
      <c r="L112" s="57"/>
      <c r="N112" s="102"/>
    </row>
    <row r="113" spans="12:14" x14ac:dyDescent="0.2">
      <c r="L113" s="57"/>
      <c r="N113" s="102"/>
    </row>
    <row r="114" spans="12:14" x14ac:dyDescent="0.2">
      <c r="L114" s="57"/>
      <c r="N114" s="102"/>
    </row>
    <row r="115" spans="12:14" x14ac:dyDescent="0.2">
      <c r="L115" s="57"/>
      <c r="N115" s="102"/>
    </row>
    <row r="116" spans="12:14" x14ac:dyDescent="0.2">
      <c r="L116" s="57"/>
      <c r="N116" s="102"/>
    </row>
    <row r="117" spans="12:14" x14ac:dyDescent="0.2">
      <c r="L117" s="57"/>
      <c r="N117" s="102"/>
    </row>
    <row r="118" spans="12:14" x14ac:dyDescent="0.2">
      <c r="L118" s="57"/>
      <c r="N118" s="102"/>
    </row>
    <row r="119" spans="12:14" x14ac:dyDescent="0.2">
      <c r="L119" s="57"/>
      <c r="N119" s="102"/>
    </row>
    <row r="120" spans="12:14" x14ac:dyDescent="0.2">
      <c r="L120" s="57"/>
      <c r="N120" s="102"/>
    </row>
    <row r="121" spans="12:14" x14ac:dyDescent="0.2">
      <c r="L121" s="57"/>
      <c r="N121" s="102"/>
    </row>
    <row r="122" spans="12:14" x14ac:dyDescent="0.2">
      <c r="L122" s="57"/>
      <c r="N122" s="102"/>
    </row>
    <row r="123" spans="12:14" x14ac:dyDescent="0.2">
      <c r="L123" s="57"/>
      <c r="N123" s="102"/>
    </row>
    <row r="124" spans="12:14" x14ac:dyDescent="0.2">
      <c r="L124" s="57"/>
      <c r="N124" s="102"/>
    </row>
    <row r="125" spans="12:14" x14ac:dyDescent="0.2">
      <c r="L125" s="57"/>
      <c r="N125" s="102"/>
    </row>
    <row r="126" spans="12:14" x14ac:dyDescent="0.2">
      <c r="L126" s="57"/>
      <c r="N126" s="102"/>
    </row>
    <row r="127" spans="12:14" x14ac:dyDescent="0.2">
      <c r="L127" s="57"/>
      <c r="N127" s="102"/>
    </row>
    <row r="128" spans="12:14" x14ac:dyDescent="0.2">
      <c r="L128" s="57"/>
      <c r="N128" s="102"/>
    </row>
    <row r="129" spans="12:14" x14ac:dyDescent="0.2">
      <c r="L129" s="57"/>
      <c r="N129" s="102"/>
    </row>
    <row r="130" spans="12:14" x14ac:dyDescent="0.2">
      <c r="L130" s="57"/>
      <c r="N130" s="102"/>
    </row>
    <row r="131" spans="12:14" x14ac:dyDescent="0.2">
      <c r="L131" s="57"/>
      <c r="N131" s="102"/>
    </row>
    <row r="132" spans="12:14" x14ac:dyDescent="0.2">
      <c r="L132" s="57"/>
      <c r="N132" s="102"/>
    </row>
    <row r="133" spans="12:14" x14ac:dyDescent="0.2">
      <c r="L133" s="57"/>
      <c r="N133" s="102"/>
    </row>
    <row r="134" spans="12:14" x14ac:dyDescent="0.2">
      <c r="L134" s="57"/>
      <c r="N134" s="102"/>
    </row>
    <row r="135" spans="12:14" x14ac:dyDescent="0.2">
      <c r="L135" s="57"/>
      <c r="N135" s="102"/>
    </row>
    <row r="136" spans="12:14" x14ac:dyDescent="0.2">
      <c r="L136" s="57"/>
      <c r="N136" s="102"/>
    </row>
    <row r="137" spans="12:14" x14ac:dyDescent="0.2">
      <c r="L137" s="57"/>
      <c r="N137" s="102"/>
    </row>
  </sheetData>
  <sheetProtection selectLockedCells="1" selectUnlockedCells="1"/>
  <protectedRanges>
    <protectedRange sqref="D16:E16 D20:E20 D25:E25" name="Range1_1"/>
    <protectedRange sqref="G16 G18:G20" name="Range1_3"/>
  </protectedRanges>
  <mergeCells count="8">
    <mergeCell ref="J85:N87"/>
    <mergeCell ref="J78:N78"/>
    <mergeCell ref="H89:J89"/>
    <mergeCell ref="J14:N14"/>
    <mergeCell ref="J76:K76"/>
    <mergeCell ref="J16:K16"/>
    <mergeCell ref="J20:K20"/>
    <mergeCell ref="N75:N76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'DQ Lookup'!$A$2:$A$59</xm:f>
          </x14:formula1>
          <xm:sqref>L4:L88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7"/>
  <sheetViews>
    <sheetView topLeftCell="A59" zoomScale="84" zoomScaleNormal="84" workbookViewId="0">
      <selection activeCell="M74" sqref="M74"/>
    </sheetView>
  </sheetViews>
  <sheetFormatPr defaultRowHeight="12.75" x14ac:dyDescent="0.2"/>
  <cols>
    <col min="1" max="1" width="3.7109375" style="21" customWidth="1"/>
    <col min="2" max="2" width="14.140625" customWidth="1"/>
    <col min="3" max="3" width="19.28515625" customWidth="1"/>
    <col min="4" max="4" width="27.85546875" style="316" customWidth="1"/>
    <col min="5" max="5" width="11.85546875" style="317" customWidth="1"/>
    <col min="6" max="6" width="9.140625" style="247"/>
    <col min="7" max="7" width="25.85546875" style="319" bestFit="1" customWidth="1"/>
    <col min="8" max="8" width="10.140625" style="22" customWidth="1"/>
    <col min="9" max="9" width="10.140625" style="249" customWidth="1"/>
    <col min="10" max="10" width="8.42578125" style="250" customWidth="1"/>
    <col min="11" max="11" width="9.140625" style="24"/>
    <col min="12" max="12" width="9.140625" style="23"/>
    <col min="14" max="14" width="33.7109375" style="170" customWidth="1"/>
    <col min="15" max="15" width="0" style="108" hidden="1" customWidth="1"/>
    <col min="16" max="16" width="0" style="104" hidden="1" customWidth="1"/>
  </cols>
  <sheetData>
    <row r="1" spans="1:16" ht="29.25" customHeight="1" x14ac:dyDescent="0.35">
      <c r="A1" s="476" t="s">
        <v>75</v>
      </c>
      <c r="B1" s="476"/>
      <c r="C1" s="476"/>
      <c r="D1" s="476"/>
      <c r="E1" s="246"/>
      <c r="G1" s="248" t="str">
        <f>'Moors League'!W86</f>
        <v>Eston</v>
      </c>
    </row>
    <row r="2" spans="1:16" s="27" customFormat="1" ht="18.75" x14ac:dyDescent="0.3">
      <c r="A2" s="477" t="s">
        <v>1</v>
      </c>
      <c r="B2" s="477"/>
      <c r="C2" s="26" t="str">
        <f>'Moors League'!C3</f>
        <v>Redcar Leisure Centre (Host Stokesley)</v>
      </c>
      <c r="D2" s="251"/>
      <c r="E2" s="252"/>
      <c r="F2" s="253" t="s">
        <v>76</v>
      </c>
      <c r="G2" s="254" t="str">
        <f>'Moors League'!L3</f>
        <v>17th June 2023</v>
      </c>
      <c r="I2" s="255"/>
      <c r="J2" s="256"/>
      <c r="K2" s="30"/>
      <c r="L2" s="29"/>
      <c r="N2" s="171"/>
      <c r="O2" s="109" t="s">
        <v>181</v>
      </c>
      <c r="P2" s="105" t="s">
        <v>182</v>
      </c>
    </row>
    <row r="3" spans="1:16" s="32" customFormat="1" x14ac:dyDescent="0.2">
      <c r="A3" s="31"/>
      <c r="D3" s="257"/>
      <c r="E3" s="258"/>
      <c r="F3" s="259"/>
      <c r="G3" s="260"/>
      <c r="H3" s="33"/>
      <c r="I3" s="261"/>
      <c r="J3" s="262"/>
      <c r="K3" s="35" t="s">
        <v>16</v>
      </c>
      <c r="L3" s="71" t="s">
        <v>284</v>
      </c>
      <c r="M3" s="71" t="s">
        <v>286</v>
      </c>
      <c r="N3" s="172" t="s">
        <v>285</v>
      </c>
      <c r="O3" s="110"/>
      <c r="P3" s="106"/>
    </row>
    <row r="4" spans="1:16" s="32" customFormat="1" ht="21.75" customHeight="1" x14ac:dyDescent="0.25">
      <c r="A4" s="263">
        <v>1</v>
      </c>
      <c r="B4" s="39" t="s">
        <v>77</v>
      </c>
      <c r="C4" s="63" t="s">
        <v>78</v>
      </c>
      <c r="D4" s="424" t="s">
        <v>398</v>
      </c>
      <c r="E4" s="264"/>
      <c r="F4" s="436">
        <f>'Moors League'!L9</f>
        <v>32.39</v>
      </c>
      <c r="G4" s="266"/>
      <c r="H4" s="40"/>
      <c r="I4" s="128"/>
      <c r="J4" s="262"/>
      <c r="K4" s="267">
        <f>'Moors League'!M9</f>
        <v>4</v>
      </c>
      <c r="L4" s="56"/>
      <c r="N4" s="102" t="str">
        <f>_xlfn.IFNA((VLOOKUP(L4,'DQ Lookup'!$A$2:$B$59,2,FALSE)),"")</f>
        <v/>
      </c>
      <c r="O4" s="110"/>
      <c r="P4" s="107">
        <f>O4-F4</f>
        <v>-32.39</v>
      </c>
    </row>
    <row r="5" spans="1:16" s="32" customFormat="1" ht="21.75" customHeight="1" x14ac:dyDescent="0.25">
      <c r="A5" s="263">
        <v>2</v>
      </c>
      <c r="B5" s="39" t="s">
        <v>79</v>
      </c>
      <c r="C5" s="63" t="s">
        <v>78</v>
      </c>
      <c r="D5" s="425" t="s">
        <v>399</v>
      </c>
      <c r="E5" s="268"/>
      <c r="F5" s="436">
        <f>'Moors League'!L10</f>
        <v>32.6</v>
      </c>
      <c r="G5" s="266"/>
      <c r="H5" s="40"/>
      <c r="I5" s="128"/>
      <c r="J5" s="262"/>
      <c r="K5" s="267">
        <f>'Moors League'!M10</f>
        <v>2</v>
      </c>
      <c r="L5" s="56"/>
      <c r="N5" s="102" t="str">
        <f>_xlfn.IFNA((VLOOKUP(L5,'DQ Lookup'!$A$2:$B$59,2,FALSE)),"")</f>
        <v/>
      </c>
      <c r="O5" s="110"/>
      <c r="P5" s="107">
        <f t="shared" ref="P5:P13" si="0">O5-F5</f>
        <v>-32.6</v>
      </c>
    </row>
    <row r="6" spans="1:16" s="32" customFormat="1" ht="24.75" x14ac:dyDescent="0.25">
      <c r="A6" s="263">
        <v>3</v>
      </c>
      <c r="B6" s="39" t="s">
        <v>80</v>
      </c>
      <c r="C6" s="63" t="s">
        <v>81</v>
      </c>
      <c r="D6" s="425" t="s">
        <v>400</v>
      </c>
      <c r="E6" s="268"/>
      <c r="F6" s="436" t="str">
        <f>'Moors League'!L11</f>
        <v>DSQ</v>
      </c>
      <c r="G6" s="269"/>
      <c r="H6" s="40"/>
      <c r="I6" s="128"/>
      <c r="J6" s="262"/>
      <c r="K6" s="267">
        <f>'Moors League'!M11</f>
        <v>0</v>
      </c>
      <c r="L6" s="56" t="s">
        <v>278</v>
      </c>
      <c r="N6" s="102" t="str">
        <f>_xlfn.IFNA((VLOOKUP(L6,'DQ Lookup'!$A$2:$B$59,2,FALSE)),"")</f>
        <v>Arms not brought forward simultaneously over the water</v>
      </c>
      <c r="O6" s="110"/>
      <c r="P6" s="107" t="e">
        <f t="shared" si="0"/>
        <v>#VALUE!</v>
      </c>
    </row>
    <row r="7" spans="1:16" s="32" customFormat="1" ht="21.75" customHeight="1" x14ac:dyDescent="0.25">
      <c r="A7" s="263">
        <v>4</v>
      </c>
      <c r="B7" s="39" t="s">
        <v>82</v>
      </c>
      <c r="C7" s="63" t="s">
        <v>81</v>
      </c>
      <c r="D7" s="426" t="s">
        <v>401</v>
      </c>
      <c r="E7" s="264"/>
      <c r="F7" s="436">
        <f>'Moors League'!L12</f>
        <v>41.87</v>
      </c>
      <c r="G7" s="270"/>
      <c r="H7" s="40"/>
      <c r="I7" s="128"/>
      <c r="J7" s="262"/>
      <c r="K7" s="267">
        <f>'Moors League'!M12</f>
        <v>2</v>
      </c>
      <c r="L7" s="56"/>
      <c r="N7" s="102" t="str">
        <f>_xlfn.IFNA((VLOOKUP(L7,'DQ Lookup'!$A$2:$B$59,2,FALSE)),"")</f>
        <v/>
      </c>
      <c r="O7" s="110"/>
      <c r="P7" s="107">
        <f t="shared" si="0"/>
        <v>-41.87</v>
      </c>
    </row>
    <row r="8" spans="1:16" s="32" customFormat="1" ht="21.75" customHeight="1" x14ac:dyDescent="0.25">
      <c r="A8" s="263">
        <v>5</v>
      </c>
      <c r="B8" s="39" t="s">
        <v>83</v>
      </c>
      <c r="C8" s="63" t="s">
        <v>84</v>
      </c>
      <c r="D8" s="424" t="s">
        <v>402</v>
      </c>
      <c r="E8" s="264"/>
      <c r="F8" s="436">
        <f>'Moors League'!L13</f>
        <v>42.7</v>
      </c>
      <c r="G8" s="270"/>
      <c r="H8" s="40"/>
      <c r="I8" s="128"/>
      <c r="J8" s="262"/>
      <c r="K8" s="267">
        <f>'Moors League'!M13</f>
        <v>3</v>
      </c>
      <c r="L8" s="56"/>
      <c r="N8" s="102" t="str">
        <f>_xlfn.IFNA((VLOOKUP(L8,'DQ Lookup'!$A$2:$B$59,2,FALSE)),"")</f>
        <v/>
      </c>
      <c r="O8" s="110"/>
      <c r="P8" s="107">
        <f t="shared" si="0"/>
        <v>-42.7</v>
      </c>
    </row>
    <row r="9" spans="1:16" s="32" customFormat="1" ht="21.75" customHeight="1" x14ac:dyDescent="0.25">
      <c r="A9" s="263">
        <v>6</v>
      </c>
      <c r="B9" s="39" t="s">
        <v>85</v>
      </c>
      <c r="C9" s="63" t="s">
        <v>84</v>
      </c>
      <c r="D9" s="426" t="s">
        <v>403</v>
      </c>
      <c r="E9" s="264"/>
      <c r="F9" s="436">
        <f>'Moors League'!L14</f>
        <v>36.69</v>
      </c>
      <c r="G9" s="266"/>
      <c r="H9" s="40"/>
      <c r="I9" s="128"/>
      <c r="J9" s="262"/>
      <c r="K9" s="267">
        <f>'Moors League'!M14</f>
        <v>3</v>
      </c>
      <c r="L9" s="56"/>
      <c r="N9" s="102" t="str">
        <f>_xlfn.IFNA((VLOOKUP(L9,'DQ Lookup'!$A$2:$B$59,2,FALSE)),"")</f>
        <v/>
      </c>
      <c r="O9" s="110"/>
      <c r="P9" s="107">
        <f t="shared" si="0"/>
        <v>-36.69</v>
      </c>
    </row>
    <row r="10" spans="1:16" s="32" customFormat="1" ht="21.75" customHeight="1" x14ac:dyDescent="0.25">
      <c r="A10" s="263">
        <v>7</v>
      </c>
      <c r="B10" s="39" t="s">
        <v>86</v>
      </c>
      <c r="C10" s="63" t="s">
        <v>87</v>
      </c>
      <c r="D10" s="426" t="s">
        <v>404</v>
      </c>
      <c r="E10" s="264"/>
      <c r="F10" s="436">
        <f>'Moors League'!L15</f>
        <v>19.149999999999999</v>
      </c>
      <c r="G10" s="269"/>
      <c r="H10" s="40"/>
      <c r="I10" s="128"/>
      <c r="J10" s="262"/>
      <c r="K10" s="267">
        <f>'Moors League'!M15</f>
        <v>1</v>
      </c>
      <c r="L10" s="56"/>
      <c r="N10" s="102" t="str">
        <f>_xlfn.IFNA((VLOOKUP(L10,'DQ Lookup'!$A$2:$B$59,2,FALSE)),"")</f>
        <v/>
      </c>
      <c r="O10" s="110"/>
      <c r="P10" s="107">
        <f t="shared" si="0"/>
        <v>-19.149999999999999</v>
      </c>
    </row>
    <row r="11" spans="1:16" s="32" customFormat="1" ht="21.75" customHeight="1" x14ac:dyDescent="0.25">
      <c r="A11" s="263">
        <v>8</v>
      </c>
      <c r="B11" s="39" t="s">
        <v>88</v>
      </c>
      <c r="C11" s="63" t="s">
        <v>87</v>
      </c>
      <c r="D11" s="426" t="s">
        <v>401</v>
      </c>
      <c r="E11" s="264"/>
      <c r="F11" s="436">
        <f>'Moors League'!L16</f>
        <v>16.46</v>
      </c>
      <c r="G11" s="266"/>
      <c r="H11" s="40"/>
      <c r="I11" s="128"/>
      <c r="J11" s="262"/>
      <c r="K11" s="267">
        <f>'Moors League'!M16</f>
        <v>3</v>
      </c>
      <c r="L11" s="56"/>
      <c r="N11" s="102" t="str">
        <f>_xlfn.IFNA((VLOOKUP(L11,'DQ Lookup'!$A$2:$B$59,2,FALSE)),"")</f>
        <v/>
      </c>
      <c r="O11" s="110"/>
      <c r="P11" s="107">
        <f t="shared" si="0"/>
        <v>-16.46</v>
      </c>
    </row>
    <row r="12" spans="1:16" s="32" customFormat="1" ht="21.75" customHeight="1" x14ac:dyDescent="0.25">
      <c r="A12" s="263">
        <v>9</v>
      </c>
      <c r="B12" s="36" t="s">
        <v>89</v>
      </c>
      <c r="C12" s="63" t="s">
        <v>90</v>
      </c>
      <c r="D12" s="424" t="s">
        <v>405</v>
      </c>
      <c r="E12" s="264"/>
      <c r="F12" s="436">
        <f>'Moors League'!L17</f>
        <v>38.76</v>
      </c>
      <c r="G12" s="269"/>
      <c r="H12" s="40"/>
      <c r="I12" s="128"/>
      <c r="J12" s="262"/>
      <c r="K12" s="267">
        <f>'Moors League'!M17</f>
        <v>2</v>
      </c>
      <c r="L12" s="56"/>
      <c r="N12" s="102" t="str">
        <f>_xlfn.IFNA((VLOOKUP(L12,'DQ Lookup'!$A$2:$B$59,2,FALSE)),"")</f>
        <v/>
      </c>
      <c r="O12" s="110"/>
      <c r="P12" s="107">
        <f t="shared" si="0"/>
        <v>-38.76</v>
      </c>
    </row>
    <row r="13" spans="1:16" s="32" customFormat="1" ht="21.75" customHeight="1" x14ac:dyDescent="0.25">
      <c r="A13" s="263">
        <v>10</v>
      </c>
      <c r="B13" s="39" t="s">
        <v>91</v>
      </c>
      <c r="C13" s="63" t="s">
        <v>90</v>
      </c>
      <c r="D13" s="424" t="s">
        <v>406</v>
      </c>
      <c r="E13" s="264"/>
      <c r="F13" s="436">
        <f>'Moors League'!L18</f>
        <v>40.880000000000003</v>
      </c>
      <c r="G13" s="270"/>
      <c r="H13" s="40"/>
      <c r="I13" s="128"/>
      <c r="J13" s="262"/>
      <c r="K13" s="267">
        <f>'Moors League'!M18</f>
        <v>1</v>
      </c>
      <c r="L13" s="56"/>
      <c r="N13" s="102" t="str">
        <f>_xlfn.IFNA((VLOOKUP(L13,'DQ Lookup'!$A$2:$B$59,2,FALSE)),"")</f>
        <v/>
      </c>
      <c r="O13" s="110"/>
      <c r="P13" s="107">
        <f t="shared" si="0"/>
        <v>-40.880000000000003</v>
      </c>
    </row>
    <row r="14" spans="1:16" s="32" customFormat="1" ht="23.25" customHeight="1" x14ac:dyDescent="0.25">
      <c r="A14" s="263">
        <v>11</v>
      </c>
      <c r="B14" s="39" t="s">
        <v>77</v>
      </c>
      <c r="C14" s="63" t="s">
        <v>183</v>
      </c>
      <c r="D14" s="424" t="s">
        <v>407</v>
      </c>
      <c r="E14" s="264" t="s">
        <v>93</v>
      </c>
      <c r="F14" s="350"/>
      <c r="G14" s="437" t="s">
        <v>420</v>
      </c>
      <c r="H14" s="271" t="s">
        <v>94</v>
      </c>
      <c r="I14" s="350"/>
      <c r="J14" s="272"/>
      <c r="K14" s="273"/>
      <c r="L14" s="273"/>
      <c r="N14" s="100"/>
      <c r="O14" s="110"/>
      <c r="P14" s="107"/>
    </row>
    <row r="15" spans="1:16" s="32" customFormat="1" ht="36.75" x14ac:dyDescent="0.25">
      <c r="A15" s="263"/>
      <c r="B15" s="39"/>
      <c r="C15" s="63"/>
      <c r="D15" s="424" t="s">
        <v>408</v>
      </c>
      <c r="E15" s="264" t="s">
        <v>95</v>
      </c>
      <c r="F15" s="350"/>
      <c r="G15" s="437" t="s">
        <v>423</v>
      </c>
      <c r="H15" s="271" t="s">
        <v>96</v>
      </c>
      <c r="I15" s="350"/>
      <c r="J15" s="265" t="str">
        <f>'Moors League'!L19</f>
        <v>DSQ</v>
      </c>
      <c r="K15" s="274">
        <f>'Moors League'!M19</f>
        <v>0</v>
      </c>
      <c r="L15" s="56">
        <v>10.119999999999999</v>
      </c>
      <c r="M15" s="32" t="s">
        <v>501</v>
      </c>
      <c r="N15" s="102" t="str">
        <f>_xlfn.IFNA((VLOOKUP(L15,'DQ Lookup'!$A$2:$B$59,2,FALSE)),"")</f>
        <v>Feet lost touch with starting platform before preceding team-mate touched the wall</v>
      </c>
      <c r="O15" s="110"/>
      <c r="P15" s="107">
        <f>8.61-8.81</f>
        <v>-0.20000000000000107</v>
      </c>
    </row>
    <row r="16" spans="1:16" s="32" customFormat="1" ht="21.75" customHeight="1" x14ac:dyDescent="0.25">
      <c r="A16" s="263">
        <v>12</v>
      </c>
      <c r="B16" s="39" t="s">
        <v>79</v>
      </c>
      <c r="C16" s="63" t="s">
        <v>183</v>
      </c>
      <c r="D16" s="424" t="s">
        <v>399</v>
      </c>
      <c r="E16" s="264" t="s">
        <v>93</v>
      </c>
      <c r="F16" s="350"/>
      <c r="G16" s="437" t="s">
        <v>424</v>
      </c>
      <c r="H16" s="271" t="s">
        <v>94</v>
      </c>
      <c r="I16" s="350"/>
      <c r="J16" s="272"/>
      <c r="K16" s="275"/>
      <c r="L16" s="56"/>
      <c r="N16" s="102" t="str">
        <f>_xlfn.IFNA((VLOOKUP(L16,'DQ Lookup'!$A$2:$B$59,2,FALSE)),"")</f>
        <v/>
      </c>
      <c r="O16" s="110"/>
      <c r="P16" s="107"/>
    </row>
    <row r="17" spans="1:16" s="32" customFormat="1" ht="21.75" customHeight="1" x14ac:dyDescent="0.25">
      <c r="A17" s="263"/>
      <c r="B17" s="39"/>
      <c r="C17" s="86"/>
      <c r="D17" s="424" t="s">
        <v>409</v>
      </c>
      <c r="E17" s="264" t="s">
        <v>95</v>
      </c>
      <c r="F17" s="350"/>
      <c r="G17" s="437" t="s">
        <v>425</v>
      </c>
      <c r="H17" s="276" t="s">
        <v>96</v>
      </c>
      <c r="I17" s="350"/>
      <c r="J17" s="265" t="str">
        <f>'Moors League'!L20</f>
        <v>2.13.17</v>
      </c>
      <c r="K17" s="274">
        <f>'Moors League'!M20</f>
        <v>2</v>
      </c>
      <c r="L17" s="56"/>
      <c r="N17" s="102" t="str">
        <f>_xlfn.IFNA((VLOOKUP(L17,'DQ Lookup'!$A$2:$B$59,2,FALSE)),"")</f>
        <v/>
      </c>
      <c r="O17" s="110"/>
      <c r="P17" s="107">
        <f>5.89-6.34</f>
        <v>-0.45000000000000018</v>
      </c>
    </row>
    <row r="18" spans="1:16" s="32" customFormat="1" ht="21.75" customHeight="1" x14ac:dyDescent="0.25">
      <c r="A18" s="263">
        <v>13</v>
      </c>
      <c r="B18" s="39" t="s">
        <v>80</v>
      </c>
      <c r="C18" s="152" t="s">
        <v>184</v>
      </c>
      <c r="D18" s="427" t="s">
        <v>410</v>
      </c>
      <c r="E18" s="277"/>
      <c r="F18" s="350"/>
      <c r="G18" s="437" t="s">
        <v>426</v>
      </c>
      <c r="H18" s="278"/>
      <c r="I18" s="350"/>
      <c r="J18" s="279"/>
      <c r="K18" s="275"/>
      <c r="L18" s="56"/>
      <c r="N18" s="102" t="str">
        <f>_xlfn.IFNA((VLOOKUP(L18,'DQ Lookup'!$A$2:$B$59,2,FALSE)),"")</f>
        <v/>
      </c>
      <c r="O18" s="110"/>
      <c r="P18" s="107"/>
    </row>
    <row r="19" spans="1:16" s="32" customFormat="1" ht="21.75" customHeight="1" x14ac:dyDescent="0.25">
      <c r="A19" s="263"/>
      <c r="B19" s="39"/>
      <c r="C19" s="152"/>
      <c r="D19" s="427" t="s">
        <v>411</v>
      </c>
      <c r="E19" s="277"/>
      <c r="F19" s="350"/>
      <c r="G19" s="437" t="s">
        <v>400</v>
      </c>
      <c r="H19" s="278"/>
      <c r="I19" s="350"/>
      <c r="J19" s="265" t="str">
        <f>'Moors League'!L21</f>
        <v>2.45.29</v>
      </c>
      <c r="K19" s="274">
        <f>'Moors League'!M21</f>
        <v>1</v>
      </c>
      <c r="L19" s="56"/>
      <c r="N19" s="102" t="str">
        <f>_xlfn.IFNA((VLOOKUP(L19,'DQ Lookup'!$A$2:$B$59,2,FALSE)),"")</f>
        <v/>
      </c>
      <c r="O19" s="110"/>
      <c r="P19" s="107">
        <f>3.08-3.13</f>
        <v>-4.9999999999999822E-2</v>
      </c>
    </row>
    <row r="20" spans="1:16" s="32" customFormat="1" ht="21.75" customHeight="1" x14ac:dyDescent="0.25">
      <c r="A20" s="263">
        <v>14</v>
      </c>
      <c r="B20" s="39" t="s">
        <v>82</v>
      </c>
      <c r="C20" s="152" t="s">
        <v>184</v>
      </c>
      <c r="D20" s="428" t="s">
        <v>412</v>
      </c>
      <c r="E20" s="277"/>
      <c r="F20" s="350"/>
      <c r="G20" s="448" t="s">
        <v>427</v>
      </c>
      <c r="H20" s="278"/>
      <c r="I20" s="350"/>
      <c r="J20" s="279"/>
      <c r="K20" s="275"/>
      <c r="L20" s="56"/>
      <c r="N20" s="102" t="str">
        <f>_xlfn.IFNA((VLOOKUP(L20,'DQ Lookup'!$A$2:$B$59,2,FALSE)),"")</f>
        <v/>
      </c>
      <c r="O20" s="110"/>
      <c r="P20" s="107"/>
    </row>
    <row r="21" spans="1:16" s="32" customFormat="1" ht="21.75" customHeight="1" x14ac:dyDescent="0.25">
      <c r="A21" s="263"/>
      <c r="B21" s="39"/>
      <c r="C21" s="152"/>
      <c r="D21" s="428" t="s">
        <v>413</v>
      </c>
      <c r="E21" s="277"/>
      <c r="F21" s="350"/>
      <c r="G21" s="449" t="s">
        <v>428</v>
      </c>
      <c r="H21" s="278"/>
      <c r="I21" s="350"/>
      <c r="J21" s="265" t="str">
        <f>'Moors League'!L22</f>
        <v>2.31.27</v>
      </c>
      <c r="K21" s="274">
        <f>'Moors League'!M22</f>
        <v>2</v>
      </c>
      <c r="L21" s="56"/>
      <c r="N21" s="102" t="str">
        <f>_xlfn.IFNA((VLOOKUP(L21,'DQ Lookup'!$A$2:$B$59,2,FALSE)),"")</f>
        <v/>
      </c>
      <c r="O21" s="110"/>
      <c r="P21" s="107">
        <f>6.53-6.73</f>
        <v>-0.20000000000000018</v>
      </c>
    </row>
    <row r="22" spans="1:16" s="32" customFormat="1" ht="21.75" customHeight="1" x14ac:dyDescent="0.25">
      <c r="A22" s="263">
        <v>15</v>
      </c>
      <c r="B22" s="39" t="s">
        <v>89</v>
      </c>
      <c r="C22" s="152" t="s">
        <v>97</v>
      </c>
      <c r="D22" s="427" t="s">
        <v>402</v>
      </c>
      <c r="E22" s="277"/>
      <c r="F22" s="436">
        <f>'Moors League'!L23</f>
        <v>42.74</v>
      </c>
      <c r="G22" s="430"/>
      <c r="H22" s="280"/>
      <c r="I22" s="281"/>
      <c r="J22" s="262"/>
      <c r="K22" s="274">
        <f>'Moors League'!M23</f>
        <v>3</v>
      </c>
      <c r="L22" s="56"/>
      <c r="N22" s="102" t="str">
        <f>_xlfn.IFNA((VLOOKUP(L22,'DQ Lookup'!$A$2:$B$59,2,FALSE)),"")</f>
        <v/>
      </c>
      <c r="O22" s="110"/>
      <c r="P22" s="107">
        <f t="shared" ref="P22:P31" si="1">O22-F22</f>
        <v>-42.74</v>
      </c>
    </row>
    <row r="23" spans="1:16" s="32" customFormat="1" ht="21.75" customHeight="1" x14ac:dyDescent="0.25">
      <c r="A23" s="263">
        <v>16</v>
      </c>
      <c r="B23" s="39" t="s">
        <v>91</v>
      </c>
      <c r="C23" s="152" t="s">
        <v>97</v>
      </c>
      <c r="D23" s="427" t="s">
        <v>414</v>
      </c>
      <c r="E23" s="277"/>
      <c r="F23" s="436">
        <f>'Moors League'!L24</f>
        <v>43.3</v>
      </c>
      <c r="G23" s="430"/>
      <c r="H23" s="280"/>
      <c r="I23" s="281"/>
      <c r="J23" s="262"/>
      <c r="K23" s="274">
        <f>'Moors League'!M24</f>
        <v>3</v>
      </c>
      <c r="L23" s="56"/>
      <c r="N23" s="102" t="str">
        <f>_xlfn.IFNA((VLOOKUP(L23,'DQ Lookup'!$A$2:$B$59,2,FALSE)),"")</f>
        <v/>
      </c>
      <c r="O23" s="110"/>
      <c r="P23" s="107">
        <f t="shared" si="1"/>
        <v>-43.3</v>
      </c>
    </row>
    <row r="24" spans="1:16" s="32" customFormat="1" ht="21.75" customHeight="1" x14ac:dyDescent="0.25">
      <c r="A24" s="263">
        <v>17</v>
      </c>
      <c r="B24" s="39" t="s">
        <v>86</v>
      </c>
      <c r="C24" s="152" t="s">
        <v>98</v>
      </c>
      <c r="D24" s="427" t="s">
        <v>404</v>
      </c>
      <c r="E24" s="277"/>
      <c r="F24" s="436">
        <f>'Moors League'!L25</f>
        <v>22.4</v>
      </c>
      <c r="G24" s="430"/>
      <c r="H24" s="280"/>
      <c r="I24" s="281"/>
      <c r="J24" s="262"/>
      <c r="K24" s="274">
        <f>'Moors League'!M25</f>
        <v>1</v>
      </c>
      <c r="L24" s="56"/>
      <c r="N24" s="102" t="str">
        <f>_xlfn.IFNA((VLOOKUP(L24,'DQ Lookup'!$A$2:$B$59,2,FALSE)),"")</f>
        <v/>
      </c>
      <c r="O24" s="110"/>
      <c r="P24" s="107">
        <f t="shared" si="1"/>
        <v>-22.4</v>
      </c>
    </row>
    <row r="25" spans="1:16" s="32" customFormat="1" ht="21.75" customHeight="1" x14ac:dyDescent="0.25">
      <c r="A25" s="263">
        <v>18</v>
      </c>
      <c r="B25" s="39" t="s">
        <v>88</v>
      </c>
      <c r="C25" s="88" t="s">
        <v>98</v>
      </c>
      <c r="D25" s="427" t="s">
        <v>401</v>
      </c>
      <c r="E25" s="277"/>
      <c r="F25" s="436">
        <f>'Moors League'!L26</f>
        <v>20.53</v>
      </c>
      <c r="G25" s="430"/>
      <c r="H25" s="280"/>
      <c r="I25" s="281"/>
      <c r="J25" s="262"/>
      <c r="K25" s="274">
        <f>'Moors League'!M26</f>
        <v>3</v>
      </c>
      <c r="L25" s="56"/>
      <c r="N25" s="102" t="str">
        <f>_xlfn.IFNA((VLOOKUP(L25,'DQ Lookup'!$A$2:$B$59,2,FALSE)),"")</f>
        <v/>
      </c>
      <c r="O25" s="110"/>
      <c r="P25" s="107">
        <f t="shared" si="1"/>
        <v>-20.53</v>
      </c>
    </row>
    <row r="26" spans="1:16" s="32" customFormat="1" ht="21.75" customHeight="1" x14ac:dyDescent="0.25">
      <c r="A26" s="263">
        <v>19</v>
      </c>
      <c r="B26" s="39" t="s">
        <v>83</v>
      </c>
      <c r="C26" s="63" t="s">
        <v>100</v>
      </c>
      <c r="D26" s="427" t="s">
        <v>408</v>
      </c>
      <c r="E26" s="277"/>
      <c r="F26" s="436">
        <f>'Moors League'!L27</f>
        <v>33.99</v>
      </c>
      <c r="G26" s="430"/>
      <c r="H26" s="280"/>
      <c r="I26" s="281"/>
      <c r="J26" s="262"/>
      <c r="K26" s="274">
        <f>'Moors League'!M27</f>
        <v>3</v>
      </c>
      <c r="L26" s="56"/>
      <c r="N26" s="102" t="str">
        <f>_xlfn.IFNA((VLOOKUP(L26,'DQ Lookup'!$A$2:$B$59,2,FALSE)),"")</f>
        <v/>
      </c>
      <c r="O26" s="110"/>
      <c r="P26" s="107">
        <f t="shared" si="1"/>
        <v>-33.99</v>
      </c>
    </row>
    <row r="27" spans="1:16" s="32" customFormat="1" ht="21.75" customHeight="1" x14ac:dyDescent="0.25">
      <c r="A27" s="263">
        <v>20</v>
      </c>
      <c r="B27" s="39" t="s">
        <v>85</v>
      </c>
      <c r="C27" s="63" t="s">
        <v>100</v>
      </c>
      <c r="D27" s="427" t="s">
        <v>399</v>
      </c>
      <c r="E27" s="277"/>
      <c r="F27" s="436">
        <f>'Moors League'!L28</f>
        <v>30.83</v>
      </c>
      <c r="G27" s="430"/>
      <c r="H27" s="280"/>
      <c r="I27" s="281"/>
      <c r="J27" s="262"/>
      <c r="K27" s="274">
        <f>'Moors League'!M28</f>
        <v>3</v>
      </c>
      <c r="L27" s="56"/>
      <c r="N27" s="102" t="str">
        <f>_xlfn.IFNA((VLOOKUP(L27,'DQ Lookup'!$A$2:$B$59,2,FALSE)),"")</f>
        <v/>
      </c>
      <c r="O27" s="110"/>
      <c r="P27" s="107">
        <f t="shared" si="1"/>
        <v>-30.83</v>
      </c>
    </row>
    <row r="28" spans="1:16" s="32" customFormat="1" ht="21.75" customHeight="1" x14ac:dyDescent="0.25">
      <c r="A28" s="263">
        <v>21</v>
      </c>
      <c r="B28" s="39" t="s">
        <v>80</v>
      </c>
      <c r="C28" s="63" t="s">
        <v>101</v>
      </c>
      <c r="D28" s="428" t="s">
        <v>410</v>
      </c>
      <c r="E28" s="277"/>
      <c r="F28" s="436">
        <f>'Moors League'!L29</f>
        <v>36.82</v>
      </c>
      <c r="G28" s="430"/>
      <c r="H28" s="280"/>
      <c r="I28" s="281"/>
      <c r="J28" s="262"/>
      <c r="K28" s="274">
        <f>'Moors League'!M29</f>
        <v>1</v>
      </c>
      <c r="L28" s="56"/>
      <c r="N28" s="102" t="str">
        <f>_xlfn.IFNA((VLOOKUP(L28,'DQ Lookup'!$A$2:$B$59,2,FALSE)),"")</f>
        <v/>
      </c>
      <c r="O28" s="110"/>
      <c r="P28" s="107">
        <f t="shared" si="1"/>
        <v>-36.82</v>
      </c>
    </row>
    <row r="29" spans="1:16" s="32" customFormat="1" ht="21.75" customHeight="1" x14ac:dyDescent="0.25">
      <c r="A29" s="263">
        <v>22</v>
      </c>
      <c r="B29" s="39" t="s">
        <v>82</v>
      </c>
      <c r="C29" s="63" t="s">
        <v>101</v>
      </c>
      <c r="D29" s="428" t="s">
        <v>412</v>
      </c>
      <c r="E29" s="277"/>
      <c r="F29" s="436">
        <f>'Moors League'!L30</f>
        <v>37.090000000000003</v>
      </c>
      <c r="G29" s="430"/>
      <c r="H29" s="280"/>
      <c r="I29" s="281"/>
      <c r="J29" s="262"/>
      <c r="K29" s="274">
        <f>'Moors League'!M30</f>
        <v>1</v>
      </c>
      <c r="L29" s="56"/>
      <c r="N29" s="102" t="str">
        <f>_xlfn.IFNA((VLOOKUP(L29,'DQ Lookup'!$A$2:$B$59,2,FALSE)),"")</f>
        <v/>
      </c>
      <c r="O29" s="110"/>
      <c r="P29" s="107">
        <f t="shared" si="1"/>
        <v>-37.090000000000003</v>
      </c>
    </row>
    <row r="30" spans="1:16" s="32" customFormat="1" ht="21.75" customHeight="1" x14ac:dyDescent="0.25">
      <c r="A30" s="263">
        <v>23</v>
      </c>
      <c r="B30" s="39" t="s">
        <v>77</v>
      </c>
      <c r="C30" s="63" t="s">
        <v>97</v>
      </c>
      <c r="D30" s="428" t="s">
        <v>398</v>
      </c>
      <c r="E30" s="277"/>
      <c r="F30" s="436">
        <f>'Moors League'!L31</f>
        <v>43.89</v>
      </c>
      <c r="G30" s="430"/>
      <c r="H30" s="280"/>
      <c r="I30" s="281"/>
      <c r="J30" s="262"/>
      <c r="K30" s="274">
        <f>'Moors League'!M31</f>
        <v>2</v>
      </c>
      <c r="L30" s="56"/>
      <c r="N30" s="102" t="str">
        <f>_xlfn.IFNA((VLOOKUP(L30,'DQ Lookup'!$A$2:$B$59,2,FALSE)),"")</f>
        <v/>
      </c>
      <c r="O30" s="110"/>
      <c r="P30" s="107">
        <f t="shared" si="1"/>
        <v>-43.89</v>
      </c>
    </row>
    <row r="31" spans="1:16" s="32" customFormat="1" ht="21.75" customHeight="1" x14ac:dyDescent="0.25">
      <c r="A31" s="263">
        <v>24</v>
      </c>
      <c r="B31" s="39" t="s">
        <v>79</v>
      </c>
      <c r="C31" s="63" t="s">
        <v>97</v>
      </c>
      <c r="D31" s="427" t="s">
        <v>415</v>
      </c>
      <c r="E31" s="277"/>
      <c r="F31" s="436">
        <f>'Moors League'!L32</f>
        <v>36.4</v>
      </c>
      <c r="G31" s="431"/>
      <c r="H31" s="280"/>
      <c r="I31" s="281"/>
      <c r="J31" s="262"/>
      <c r="K31" s="274">
        <f>'Moors League'!M32</f>
        <v>2</v>
      </c>
      <c r="L31" s="56"/>
      <c r="N31" s="102" t="str">
        <f>_xlfn.IFNA((VLOOKUP(L31,'DQ Lookup'!$A$2:$B$59,2,FALSE)),"")</f>
        <v/>
      </c>
      <c r="O31" s="110"/>
      <c r="P31" s="107">
        <f t="shared" si="1"/>
        <v>-36.4</v>
      </c>
    </row>
    <row r="32" spans="1:16" s="32" customFormat="1" ht="21.75" customHeight="1" x14ac:dyDescent="0.25">
      <c r="A32" s="263">
        <v>25</v>
      </c>
      <c r="B32" s="39" t="s">
        <v>89</v>
      </c>
      <c r="C32" s="63" t="s">
        <v>183</v>
      </c>
      <c r="D32" s="427" t="s">
        <v>405</v>
      </c>
      <c r="E32" s="282" t="s">
        <v>93</v>
      </c>
      <c r="F32" s="350"/>
      <c r="G32" s="422" t="s">
        <v>402</v>
      </c>
      <c r="H32" s="271" t="s">
        <v>94</v>
      </c>
      <c r="I32" s="350"/>
      <c r="J32" s="279"/>
      <c r="K32" s="273"/>
      <c r="L32" s="56"/>
      <c r="N32" s="102" t="str">
        <f>_xlfn.IFNA((VLOOKUP(L32,'DQ Lookup'!$A$2:$B$59,2,FALSE)),"")</f>
        <v/>
      </c>
      <c r="O32" s="110"/>
      <c r="P32" s="107"/>
    </row>
    <row r="33" spans="1:16" s="32" customFormat="1" ht="36.75" x14ac:dyDescent="0.25">
      <c r="A33" s="263"/>
      <c r="B33" s="39"/>
      <c r="C33" s="63"/>
      <c r="D33" s="424" t="s">
        <v>408</v>
      </c>
      <c r="E33" s="282" t="s">
        <v>95</v>
      </c>
      <c r="F33" s="350"/>
      <c r="G33" s="438" t="s">
        <v>429</v>
      </c>
      <c r="H33" s="271" t="s">
        <v>96</v>
      </c>
      <c r="I33" s="350"/>
      <c r="J33" s="283" t="str">
        <f>'Moors League'!L33</f>
        <v>DSQ</v>
      </c>
      <c r="K33" s="284">
        <f>'Moors League'!M33</f>
        <v>0</v>
      </c>
      <c r="L33" s="56">
        <v>10.119999999999999</v>
      </c>
      <c r="M33" s="32" t="s">
        <v>515</v>
      </c>
      <c r="N33" s="102" t="str">
        <f>_xlfn.IFNA((VLOOKUP(L33,'DQ Lookup'!$A$2:$B$59,2,FALSE)),"")</f>
        <v>Feet lost touch with starting platform before preceding team-mate touched the wall</v>
      </c>
      <c r="O33" s="110"/>
      <c r="P33" s="107">
        <f>6.73-6.92</f>
        <v>-0.1899999999999995</v>
      </c>
    </row>
    <row r="34" spans="1:16" s="32" customFormat="1" ht="21.75" customHeight="1" x14ac:dyDescent="0.25">
      <c r="A34" s="263">
        <v>26</v>
      </c>
      <c r="B34" s="285" t="s">
        <v>91</v>
      </c>
      <c r="C34" s="63" t="s">
        <v>183</v>
      </c>
      <c r="D34" s="424" t="s">
        <v>406</v>
      </c>
      <c r="E34" s="282" t="s">
        <v>93</v>
      </c>
      <c r="F34" s="350"/>
      <c r="G34" s="439" t="s">
        <v>414</v>
      </c>
      <c r="H34" s="271" t="s">
        <v>94</v>
      </c>
      <c r="I34" s="350"/>
      <c r="J34" s="279"/>
      <c r="K34" s="275"/>
      <c r="L34" s="56"/>
      <c r="N34" s="102" t="str">
        <f>_xlfn.IFNA((VLOOKUP(L34,'DQ Lookup'!$A$2:$B$59,2,FALSE)),"")</f>
        <v/>
      </c>
      <c r="O34" s="110"/>
      <c r="P34" s="107"/>
    </row>
    <row r="35" spans="1:16" s="32" customFormat="1" ht="21.75" customHeight="1" x14ac:dyDescent="0.25">
      <c r="A35" s="286"/>
      <c r="B35" s="99"/>
      <c r="C35" s="63"/>
      <c r="D35" s="424" t="s">
        <v>412</v>
      </c>
      <c r="E35" s="282" t="s">
        <v>95</v>
      </c>
      <c r="F35" s="350"/>
      <c r="G35" s="439" t="s">
        <v>428</v>
      </c>
      <c r="H35" s="271" t="s">
        <v>96</v>
      </c>
      <c r="I35" s="350"/>
      <c r="J35" s="283" t="str">
        <f>'Moors League'!L34</f>
        <v>2.50.44</v>
      </c>
      <c r="K35" s="284">
        <f>'Moors League'!M34</f>
        <v>1</v>
      </c>
      <c r="L35" s="56"/>
      <c r="N35" s="102" t="str">
        <f>_xlfn.IFNA((VLOOKUP(L35,'DQ Lookup'!$A$2:$B$59,2,FALSE)),"")</f>
        <v/>
      </c>
      <c r="O35" s="110"/>
      <c r="P35" s="107">
        <f>5.03-5.22</f>
        <v>-0.1899999999999995</v>
      </c>
    </row>
    <row r="36" spans="1:16" s="32" customFormat="1" ht="21.75" customHeight="1" x14ac:dyDescent="0.25">
      <c r="A36" s="286">
        <v>27</v>
      </c>
      <c r="B36" s="89" t="s">
        <v>102</v>
      </c>
      <c r="C36" s="63" t="s">
        <v>112</v>
      </c>
      <c r="D36" s="427" t="s">
        <v>404</v>
      </c>
      <c r="E36" s="282"/>
      <c r="F36" s="350"/>
      <c r="G36" s="440" t="s">
        <v>419</v>
      </c>
      <c r="H36" s="271"/>
      <c r="I36" s="350"/>
      <c r="J36" s="287"/>
      <c r="K36" s="288"/>
      <c r="L36" s="56"/>
      <c r="N36" s="102" t="str">
        <f>_xlfn.IFNA((VLOOKUP(L36,'DQ Lookup'!$A$2:$B$59,2,FALSE)),"")</f>
        <v/>
      </c>
      <c r="O36" s="110"/>
      <c r="P36" s="107"/>
    </row>
    <row r="37" spans="1:16" s="32" customFormat="1" ht="21.75" customHeight="1" x14ac:dyDescent="0.25">
      <c r="A37" s="286"/>
      <c r="B37" s="89"/>
      <c r="C37" s="63"/>
      <c r="D37" s="427" t="s">
        <v>416</v>
      </c>
      <c r="E37" s="282"/>
      <c r="F37" s="350"/>
      <c r="G37" s="439" t="s">
        <v>430</v>
      </c>
      <c r="H37" s="271"/>
      <c r="I37" s="350"/>
      <c r="J37" s="283" t="str">
        <f>'Moors League'!L35</f>
        <v>1.37.36</v>
      </c>
      <c r="K37" s="284">
        <f>'Moors League'!M35</f>
        <v>1</v>
      </c>
      <c r="L37" s="56"/>
      <c r="N37" s="102" t="str">
        <f>_xlfn.IFNA((VLOOKUP(L37,'DQ Lookup'!$A$2:$B$59,2,FALSE)),"")</f>
        <v/>
      </c>
      <c r="O37" s="110"/>
      <c r="P37" s="107">
        <f>4.46-4.65</f>
        <v>-0.19000000000000039</v>
      </c>
    </row>
    <row r="38" spans="1:16" s="32" customFormat="1" ht="21.75" customHeight="1" x14ac:dyDescent="0.25">
      <c r="A38" s="263">
        <v>28</v>
      </c>
      <c r="B38" s="87" t="s">
        <v>103</v>
      </c>
      <c r="C38" s="63" t="s">
        <v>112</v>
      </c>
      <c r="D38" s="427" t="s">
        <v>401</v>
      </c>
      <c r="E38" s="282"/>
      <c r="F38" s="350"/>
      <c r="G38" s="439" t="s">
        <v>431</v>
      </c>
      <c r="H38" s="289"/>
      <c r="I38" s="350"/>
      <c r="J38" s="279"/>
      <c r="K38" s="288"/>
      <c r="L38" s="56"/>
      <c r="N38" s="102" t="str">
        <f>_xlfn.IFNA((VLOOKUP(L38,'DQ Lookup'!$A$2:$B$59,2,FALSE)),"")</f>
        <v/>
      </c>
      <c r="O38" s="110"/>
      <c r="P38" s="107"/>
    </row>
    <row r="39" spans="1:16" s="32" customFormat="1" ht="21.75" customHeight="1" x14ac:dyDescent="0.25">
      <c r="A39" s="263"/>
      <c r="B39" s="39"/>
      <c r="C39" s="63"/>
      <c r="D39" s="427" t="s">
        <v>417</v>
      </c>
      <c r="E39" s="282"/>
      <c r="F39" s="350"/>
      <c r="G39" s="439" t="s">
        <v>432</v>
      </c>
      <c r="H39" s="271"/>
      <c r="I39" s="350"/>
      <c r="J39" s="283" t="str">
        <f>'Moors League'!L36</f>
        <v>1.18.00</v>
      </c>
      <c r="K39" s="284">
        <f>'Moors League'!M36</f>
        <v>4</v>
      </c>
      <c r="L39" s="83"/>
      <c r="M39" s="100"/>
      <c r="N39" s="102" t="str">
        <f>_xlfn.IFNA((VLOOKUP(L39,'DQ Lookup'!$A$2:$B$59,2,FALSE)),"")</f>
        <v/>
      </c>
      <c r="O39" s="110"/>
      <c r="P39" s="107">
        <f>9.15-9.4</f>
        <v>-0.25</v>
      </c>
    </row>
    <row r="40" spans="1:16" s="32" customFormat="1" ht="31.5" customHeight="1" x14ac:dyDescent="0.25">
      <c r="A40" s="263">
        <v>29</v>
      </c>
      <c r="B40" s="39" t="s">
        <v>83</v>
      </c>
      <c r="C40" s="63" t="s">
        <v>183</v>
      </c>
      <c r="D40" s="424" t="s">
        <v>408</v>
      </c>
      <c r="E40" s="282" t="s">
        <v>93</v>
      </c>
      <c r="F40" s="350"/>
      <c r="G40" s="439" t="s">
        <v>433</v>
      </c>
      <c r="H40" s="271" t="s">
        <v>94</v>
      </c>
      <c r="I40" s="350"/>
      <c r="J40" s="491"/>
      <c r="K40" s="491"/>
      <c r="L40" s="491"/>
      <c r="M40" s="491"/>
      <c r="N40" s="491"/>
      <c r="O40" s="110"/>
      <c r="P40" s="107"/>
    </row>
    <row r="41" spans="1:16" s="32" customFormat="1" ht="21.75" customHeight="1" x14ac:dyDescent="0.25">
      <c r="A41" s="263"/>
      <c r="B41" s="39"/>
      <c r="C41" s="63"/>
      <c r="D41" s="424" t="s">
        <v>402</v>
      </c>
      <c r="E41" s="282" t="s">
        <v>95</v>
      </c>
      <c r="F41" s="350"/>
      <c r="G41" s="439" t="s">
        <v>434</v>
      </c>
      <c r="H41" s="271" t="s">
        <v>96</v>
      </c>
      <c r="I41" s="350"/>
      <c r="J41" s="283" t="str">
        <f>'Moors League'!L37</f>
        <v>2.37.21</v>
      </c>
      <c r="K41" s="284">
        <f>'Moors League'!M37</f>
        <v>1</v>
      </c>
      <c r="L41" s="56"/>
      <c r="N41" s="102" t="str">
        <f>_xlfn.IFNA((VLOOKUP(L41,'DQ Lookup'!$A$2:$B$59,2,FALSE)),"")</f>
        <v/>
      </c>
      <c r="O41" s="110"/>
      <c r="P41" s="107">
        <f>2.13-2.22</f>
        <v>-9.0000000000000302E-2</v>
      </c>
    </row>
    <row r="42" spans="1:16" s="32" customFormat="1" ht="21.75" customHeight="1" x14ac:dyDescent="0.25">
      <c r="A42" s="263">
        <v>30</v>
      </c>
      <c r="B42" s="39" t="s">
        <v>104</v>
      </c>
      <c r="C42" s="63" t="s">
        <v>183</v>
      </c>
      <c r="D42" s="424" t="s">
        <v>399</v>
      </c>
      <c r="E42" s="282" t="s">
        <v>93</v>
      </c>
      <c r="F42" s="350"/>
      <c r="G42" s="441" t="s">
        <v>425</v>
      </c>
      <c r="H42" s="271" t="s">
        <v>94</v>
      </c>
      <c r="I42" s="350"/>
      <c r="J42" s="90"/>
      <c r="K42" s="275"/>
      <c r="L42" s="56"/>
      <c r="N42" s="102" t="str">
        <f>_xlfn.IFNA((VLOOKUP(L42,'DQ Lookup'!$A$2:$B$59,2,FALSE)),"")</f>
        <v/>
      </c>
      <c r="O42" s="110"/>
      <c r="P42" s="107"/>
    </row>
    <row r="43" spans="1:16" s="32" customFormat="1" ht="21.75" customHeight="1" x14ac:dyDescent="0.25">
      <c r="A43" s="263"/>
      <c r="B43" s="39"/>
      <c r="C43" s="63"/>
      <c r="D43" s="424" t="s">
        <v>406</v>
      </c>
      <c r="E43" s="282" t="s">
        <v>95</v>
      </c>
      <c r="F43" s="350"/>
      <c r="G43" s="422" t="s">
        <v>414</v>
      </c>
      <c r="H43" s="271" t="s">
        <v>96</v>
      </c>
      <c r="I43" s="350"/>
      <c r="J43" s="283" t="str">
        <f>'Moors League'!L38</f>
        <v>2.24.80</v>
      </c>
      <c r="K43" s="284">
        <f>'Moors League'!M38</f>
        <v>3</v>
      </c>
      <c r="L43" s="56"/>
      <c r="N43" s="102" t="str">
        <f>_xlfn.IFNA((VLOOKUP(L43,'DQ Lookup'!$A$2:$B$59,2,FALSE)),"")</f>
        <v/>
      </c>
      <c r="O43" s="110"/>
      <c r="P43" s="107"/>
    </row>
    <row r="44" spans="1:16" s="37" customFormat="1" ht="21.75" customHeight="1" x14ac:dyDescent="0.25">
      <c r="A44" s="263">
        <v>31</v>
      </c>
      <c r="B44" s="39" t="s">
        <v>77</v>
      </c>
      <c r="C44" s="63" t="s">
        <v>81</v>
      </c>
      <c r="D44" s="427" t="s">
        <v>398</v>
      </c>
      <c r="E44" s="277"/>
      <c r="F44" s="436">
        <f>'Moors League'!L39</f>
        <v>35.57</v>
      </c>
      <c r="G44" s="431"/>
      <c r="H44" s="290"/>
      <c r="I44" s="281"/>
      <c r="J44" s="38"/>
      <c r="K44" s="291">
        <f>'Moors League'!M39</f>
        <v>2</v>
      </c>
      <c r="L44" s="56"/>
      <c r="N44" s="102" t="str">
        <f>_xlfn.IFNA((VLOOKUP(L44,'DQ Lookup'!$A$2:$B$59,2,FALSE)),"")</f>
        <v/>
      </c>
      <c r="O44" s="111"/>
      <c r="P44" s="107">
        <f t="shared" ref="P44:P53" si="2">O44-F44</f>
        <v>-35.57</v>
      </c>
    </row>
    <row r="45" spans="1:16" s="37" customFormat="1" ht="21.75" customHeight="1" x14ac:dyDescent="0.25">
      <c r="A45" s="263">
        <v>32</v>
      </c>
      <c r="B45" s="39" t="s">
        <v>79</v>
      </c>
      <c r="C45" s="63" t="s">
        <v>81</v>
      </c>
      <c r="D45" s="427" t="s">
        <v>409</v>
      </c>
      <c r="E45" s="277"/>
      <c r="F45" s="436">
        <f>'Moors League'!L40</f>
        <v>30.8</v>
      </c>
      <c r="G45" s="433"/>
      <c r="H45" s="290"/>
      <c r="I45" s="281"/>
      <c r="J45" s="38"/>
      <c r="K45" s="291">
        <f>'Moors League'!M40</f>
        <v>2</v>
      </c>
      <c r="L45" s="56"/>
      <c r="N45" s="102" t="str">
        <f>_xlfn.IFNA((VLOOKUP(L45,'DQ Lookup'!$A$2:$B$59,2,FALSE)),"")</f>
        <v/>
      </c>
      <c r="O45" s="111"/>
      <c r="P45" s="107">
        <f t="shared" si="2"/>
        <v>-30.8</v>
      </c>
    </row>
    <row r="46" spans="1:16" s="37" customFormat="1" ht="21.75" customHeight="1" x14ac:dyDescent="0.25">
      <c r="A46" s="263">
        <v>33</v>
      </c>
      <c r="B46" s="39" t="s">
        <v>80</v>
      </c>
      <c r="C46" s="63" t="s">
        <v>105</v>
      </c>
      <c r="D46" s="429" t="s">
        <v>400</v>
      </c>
      <c r="E46" s="268"/>
      <c r="F46" s="436">
        <f>'Moors League'!L41</f>
        <v>47.09</v>
      </c>
      <c r="G46" s="434"/>
      <c r="H46" s="292"/>
      <c r="I46" s="293"/>
      <c r="J46" s="294"/>
      <c r="K46" s="291">
        <f>'Moors League'!M41</f>
        <v>1</v>
      </c>
      <c r="L46" s="56"/>
      <c r="N46" s="102" t="str">
        <f>_xlfn.IFNA((VLOOKUP(L46,'DQ Lookup'!$A$2:$B$59,2,FALSE)),"")</f>
        <v/>
      </c>
      <c r="O46" s="111"/>
      <c r="P46" s="107">
        <f t="shared" si="2"/>
        <v>-47.09</v>
      </c>
    </row>
    <row r="47" spans="1:16" s="37" customFormat="1" ht="21.75" customHeight="1" x14ac:dyDescent="0.25">
      <c r="A47" s="263">
        <v>34</v>
      </c>
      <c r="B47" s="39" t="s">
        <v>82</v>
      </c>
      <c r="C47" s="63" t="s">
        <v>105</v>
      </c>
      <c r="D47" s="427" t="s">
        <v>401</v>
      </c>
      <c r="E47" s="277"/>
      <c r="F47" s="436">
        <f>'Moors League'!L42</f>
        <v>44.15</v>
      </c>
      <c r="G47" s="430"/>
      <c r="H47" s="290"/>
      <c r="I47" s="281"/>
      <c r="J47" s="38"/>
      <c r="K47" s="291">
        <f>'Moors League'!M42</f>
        <v>2</v>
      </c>
      <c r="L47" s="56"/>
      <c r="N47" s="102" t="str">
        <f>_xlfn.IFNA((VLOOKUP(L47,'DQ Lookup'!$A$2:$B$59,2,FALSE)),"")</f>
        <v/>
      </c>
      <c r="O47" s="111"/>
      <c r="P47" s="107">
        <f t="shared" si="2"/>
        <v>-44.15</v>
      </c>
    </row>
    <row r="48" spans="1:16" s="37" customFormat="1" ht="21.75" customHeight="1" x14ac:dyDescent="0.25">
      <c r="A48" s="263">
        <v>35</v>
      </c>
      <c r="B48" s="39" t="s">
        <v>83</v>
      </c>
      <c r="C48" s="63" t="s">
        <v>106</v>
      </c>
      <c r="D48" s="427" t="s">
        <v>418</v>
      </c>
      <c r="E48" s="277"/>
      <c r="F48" s="436">
        <f>'Moors League'!L43</f>
        <v>31.86</v>
      </c>
      <c r="G48" s="430"/>
      <c r="H48" s="290"/>
      <c r="I48" s="281"/>
      <c r="J48" s="38"/>
      <c r="K48" s="291">
        <f>'Moors League'!M43</f>
        <v>2</v>
      </c>
      <c r="L48" s="56"/>
      <c r="N48" s="102" t="str">
        <f>_xlfn.IFNA((VLOOKUP(L48,'DQ Lookup'!$A$2:$B$59,2,FALSE)),"")</f>
        <v/>
      </c>
      <c r="O48" s="111"/>
      <c r="P48" s="107">
        <f t="shared" si="2"/>
        <v>-31.86</v>
      </c>
    </row>
    <row r="49" spans="1:16" s="37" customFormat="1" ht="21.75" customHeight="1" x14ac:dyDescent="0.25">
      <c r="A49" s="263">
        <v>36</v>
      </c>
      <c r="B49" s="39" t="s">
        <v>85</v>
      </c>
      <c r="C49" s="63" t="s">
        <v>106</v>
      </c>
      <c r="D49" s="427" t="s">
        <v>399</v>
      </c>
      <c r="E49" s="277"/>
      <c r="F49" s="436">
        <f>'Moors League'!L44</f>
        <v>26.61</v>
      </c>
      <c r="G49" s="430"/>
      <c r="H49" s="290"/>
      <c r="I49" s="281"/>
      <c r="J49" s="38"/>
      <c r="K49" s="291">
        <f>'Moors League'!M44</f>
        <v>4</v>
      </c>
      <c r="L49" s="56"/>
      <c r="N49" s="102" t="str">
        <f>_xlfn.IFNA((VLOOKUP(L49,'DQ Lookup'!$A$2:$B$59,2,FALSE)),"")</f>
        <v/>
      </c>
      <c r="O49" s="111"/>
      <c r="P49" s="107">
        <f t="shared" si="2"/>
        <v>-26.61</v>
      </c>
    </row>
    <row r="50" spans="1:16" s="37" customFormat="1" ht="21.75" customHeight="1" x14ac:dyDescent="0.25">
      <c r="A50" s="263">
        <v>37</v>
      </c>
      <c r="B50" s="39" t="s">
        <v>86</v>
      </c>
      <c r="C50" s="63" t="s">
        <v>107</v>
      </c>
      <c r="D50" s="427" t="s">
        <v>419</v>
      </c>
      <c r="E50" s="277"/>
      <c r="F50" s="436">
        <f>'Moors League'!L45</f>
        <v>32.619999999999997</v>
      </c>
      <c r="G50" s="430"/>
      <c r="H50" s="290"/>
      <c r="I50" s="281"/>
      <c r="J50" s="38"/>
      <c r="K50" s="291">
        <f>'Moors League'!M45</f>
        <v>1</v>
      </c>
      <c r="L50" s="56"/>
      <c r="N50" s="102" t="str">
        <f>_xlfn.IFNA((VLOOKUP(L50,'DQ Lookup'!$A$2:$B$59,2,FALSE)),"")</f>
        <v/>
      </c>
      <c r="O50" s="111"/>
      <c r="P50" s="107">
        <f t="shared" si="2"/>
        <v>-32.619999999999997</v>
      </c>
    </row>
    <row r="51" spans="1:16" s="37" customFormat="1" ht="21.75" customHeight="1" x14ac:dyDescent="0.25">
      <c r="A51" s="263">
        <v>38</v>
      </c>
      <c r="B51" s="39" t="s">
        <v>88</v>
      </c>
      <c r="C51" s="63" t="s">
        <v>107</v>
      </c>
      <c r="D51" s="427" t="s">
        <v>401</v>
      </c>
      <c r="E51" s="277"/>
      <c r="F51" s="436">
        <f>'Moors League'!L46</f>
        <v>23.03</v>
      </c>
      <c r="G51" s="430"/>
      <c r="H51" s="290"/>
      <c r="I51" s="281"/>
      <c r="J51" s="38"/>
      <c r="K51" s="291">
        <f>'Moors League'!M46</f>
        <v>3</v>
      </c>
      <c r="L51" s="56"/>
      <c r="N51" s="102" t="str">
        <f>_xlfn.IFNA((VLOOKUP(L51,'DQ Lookup'!$A$2:$B$59,2,FALSE)),"")</f>
        <v/>
      </c>
      <c r="O51" s="111"/>
      <c r="P51" s="107">
        <f t="shared" si="2"/>
        <v>-23.03</v>
      </c>
    </row>
    <row r="52" spans="1:16" s="37" customFormat="1" ht="21.75" customHeight="1" x14ac:dyDescent="0.25">
      <c r="A52" s="263">
        <v>39</v>
      </c>
      <c r="B52" s="39" t="s">
        <v>89</v>
      </c>
      <c r="C52" s="63" t="s">
        <v>81</v>
      </c>
      <c r="D52" s="427" t="s">
        <v>408</v>
      </c>
      <c r="E52" s="277"/>
      <c r="F52" s="436">
        <f>'Moors League'!L47</f>
        <v>33.979999999999997</v>
      </c>
      <c r="G52" s="430"/>
      <c r="H52" s="290"/>
      <c r="I52" s="281"/>
      <c r="J52" s="38"/>
      <c r="K52" s="291">
        <f>'Moors League'!M47</f>
        <v>3</v>
      </c>
      <c r="L52" s="56"/>
      <c r="N52" s="102" t="str">
        <f>_xlfn.IFNA((VLOOKUP(L52,'DQ Lookup'!$A$2:$B$59,2,FALSE)),"")</f>
        <v/>
      </c>
      <c r="O52" s="111"/>
      <c r="P52" s="107">
        <f t="shared" si="2"/>
        <v>-33.979999999999997</v>
      </c>
    </row>
    <row r="53" spans="1:16" s="37" customFormat="1" ht="21.75" customHeight="1" x14ac:dyDescent="0.25">
      <c r="A53" s="263">
        <v>40</v>
      </c>
      <c r="B53" s="39" t="s">
        <v>91</v>
      </c>
      <c r="C53" s="63" t="s">
        <v>81</v>
      </c>
      <c r="D53" s="427" t="s">
        <v>406</v>
      </c>
      <c r="E53" s="277"/>
      <c r="F53" s="436">
        <f>'Moors League'!L48</f>
        <v>39.18</v>
      </c>
      <c r="G53" s="434"/>
      <c r="H53" s="290"/>
      <c r="I53" s="281"/>
      <c r="J53" s="38"/>
      <c r="K53" s="291">
        <f>'Moors League'!M48</f>
        <v>1</v>
      </c>
      <c r="L53" s="56"/>
      <c r="N53" s="102" t="str">
        <f>_xlfn.IFNA((VLOOKUP(L53,'DQ Lookup'!$A$2:$B$59,2,FALSE)),"")</f>
        <v/>
      </c>
      <c r="O53" s="111"/>
      <c r="P53" s="107">
        <f t="shared" si="2"/>
        <v>-39.18</v>
      </c>
    </row>
    <row r="54" spans="1:16" s="37" customFormat="1" ht="21.75" customHeight="1" x14ac:dyDescent="0.25">
      <c r="A54" s="263">
        <v>41</v>
      </c>
      <c r="B54" s="39" t="s">
        <v>77</v>
      </c>
      <c r="C54" s="63" t="s">
        <v>186</v>
      </c>
      <c r="D54" s="428" t="s">
        <v>398</v>
      </c>
      <c r="E54" s="277"/>
      <c r="F54" s="351"/>
      <c r="G54" s="435" t="s">
        <v>423</v>
      </c>
      <c r="H54" s="295"/>
      <c r="I54" s="350"/>
      <c r="J54" s="373"/>
      <c r="K54" s="273"/>
      <c r="L54" s="56"/>
      <c r="N54" s="102" t="str">
        <f>_xlfn.IFNA((VLOOKUP(L54,'DQ Lookup'!$A$2:$B$59,2,FALSE)),"")</f>
        <v/>
      </c>
      <c r="O54" s="111"/>
      <c r="P54" s="107"/>
    </row>
    <row r="55" spans="1:16" s="37" customFormat="1" ht="21.75" customHeight="1" x14ac:dyDescent="0.25">
      <c r="A55" s="263"/>
      <c r="B55" s="296"/>
      <c r="C55" s="63"/>
      <c r="D55" s="428" t="s">
        <v>420</v>
      </c>
      <c r="E55" s="277"/>
      <c r="F55" s="351"/>
      <c r="G55" s="435" t="s">
        <v>418</v>
      </c>
      <c r="H55" s="295"/>
      <c r="I55" s="350"/>
      <c r="J55" s="283" t="str">
        <f>'Moors League'!L49</f>
        <v>2.08.05</v>
      </c>
      <c r="K55" s="291">
        <f>'Moors League'!M49</f>
        <v>2</v>
      </c>
      <c r="L55" s="56"/>
      <c r="N55" s="378"/>
      <c r="O55" s="111"/>
      <c r="P55" s="107">
        <f>10.72-10.89</f>
        <v>-0.16999999999999993</v>
      </c>
    </row>
    <row r="56" spans="1:16" s="37" customFormat="1" ht="21.75" customHeight="1" x14ac:dyDescent="0.25">
      <c r="A56" s="263">
        <v>42</v>
      </c>
      <c r="B56" s="39" t="s">
        <v>79</v>
      </c>
      <c r="C56" s="63" t="s">
        <v>186</v>
      </c>
      <c r="D56" s="427" t="s">
        <v>409</v>
      </c>
      <c r="E56" s="277"/>
      <c r="F56" s="351"/>
      <c r="G56" s="422" t="s">
        <v>424</v>
      </c>
      <c r="H56" s="295"/>
      <c r="I56" s="350"/>
      <c r="J56" s="297"/>
      <c r="K56" s="273"/>
      <c r="L56" s="56"/>
      <c r="N56" s="378"/>
      <c r="O56" s="111"/>
      <c r="P56" s="107"/>
    </row>
    <row r="57" spans="1:16" s="37" customFormat="1" ht="21.75" customHeight="1" x14ac:dyDescent="0.25">
      <c r="A57" s="263"/>
      <c r="B57" s="296"/>
      <c r="C57" s="63"/>
      <c r="D57" s="427" t="s">
        <v>399</v>
      </c>
      <c r="E57" s="277"/>
      <c r="F57" s="351"/>
      <c r="G57" s="422" t="s">
        <v>425</v>
      </c>
      <c r="H57" s="295"/>
      <c r="I57" s="350"/>
      <c r="J57" s="265" t="str">
        <f>'Moors League'!L50</f>
        <v>1.53.71</v>
      </c>
      <c r="K57" s="274">
        <f>'Moors League'!M50</f>
        <v>2</v>
      </c>
      <c r="L57" s="56"/>
      <c r="N57" s="102" t="str">
        <f>_xlfn.IFNA((VLOOKUP(L57,'DQ Lookup'!$A$2:$B$59,2,FALSE)),"")</f>
        <v/>
      </c>
      <c r="O57" s="111"/>
      <c r="P57" s="107">
        <f>1.01-1.3</f>
        <v>-0.29000000000000004</v>
      </c>
    </row>
    <row r="58" spans="1:16" s="37" customFormat="1" ht="21.75" customHeight="1" x14ac:dyDescent="0.25">
      <c r="A58" s="263">
        <v>43</v>
      </c>
      <c r="B58" s="39" t="s">
        <v>80</v>
      </c>
      <c r="C58" s="63" t="s">
        <v>183</v>
      </c>
      <c r="D58" s="424" t="s">
        <v>400</v>
      </c>
      <c r="E58" s="298" t="s">
        <v>93</v>
      </c>
      <c r="F58" s="351"/>
      <c r="G58" s="422" t="s">
        <v>410</v>
      </c>
      <c r="H58" s="295" t="s">
        <v>94</v>
      </c>
      <c r="I58" s="350"/>
      <c r="J58" s="299"/>
      <c r="K58" s="300"/>
      <c r="L58" s="56"/>
      <c r="N58" s="102" t="str">
        <f>_xlfn.IFNA((VLOOKUP(L58,'DQ Lookup'!$A$2:$B$59,2,FALSE)),"")</f>
        <v/>
      </c>
      <c r="O58" s="111"/>
      <c r="P58" s="107"/>
    </row>
    <row r="59" spans="1:16" s="37" customFormat="1" ht="21.75" customHeight="1" x14ac:dyDescent="0.25">
      <c r="A59" s="263"/>
      <c r="B59" s="296"/>
      <c r="C59" s="63"/>
      <c r="D59" s="424" t="s">
        <v>411</v>
      </c>
      <c r="E59" s="298" t="s">
        <v>95</v>
      </c>
      <c r="F59" s="351"/>
      <c r="G59" s="422" t="s">
        <v>426</v>
      </c>
      <c r="H59" s="295" t="s">
        <v>96</v>
      </c>
      <c r="I59" s="350"/>
      <c r="J59" s="265" t="str">
        <f>'Moors League'!L51</f>
        <v>3.14.76</v>
      </c>
      <c r="K59" s="274">
        <f>'Moors League'!M51</f>
        <v>2</v>
      </c>
      <c r="L59" s="56"/>
      <c r="N59" s="102" t="str">
        <f>_xlfn.IFNA((VLOOKUP(L59,'DQ Lookup'!$A$2:$B$59,2,FALSE)),"")</f>
        <v/>
      </c>
      <c r="O59" s="111"/>
      <c r="P59" s="107">
        <f>3.39-3.34</f>
        <v>5.0000000000000266E-2</v>
      </c>
    </row>
    <row r="60" spans="1:16" s="37" customFormat="1" ht="21.75" customHeight="1" x14ac:dyDescent="0.25">
      <c r="A60" s="263">
        <v>44</v>
      </c>
      <c r="B60" s="39" t="s">
        <v>82</v>
      </c>
      <c r="C60" s="63" t="s">
        <v>183</v>
      </c>
      <c r="D60" s="426" t="s">
        <v>401</v>
      </c>
      <c r="E60" s="298" t="s">
        <v>93</v>
      </c>
      <c r="F60" s="351"/>
      <c r="G60" s="442" t="s">
        <v>427</v>
      </c>
      <c r="H60" s="295" t="s">
        <v>94</v>
      </c>
      <c r="I60" s="350"/>
      <c r="J60" s="487"/>
      <c r="K60" s="487"/>
      <c r="L60" s="487"/>
      <c r="M60" s="487"/>
      <c r="N60" s="487"/>
      <c r="O60" s="487"/>
      <c r="P60" s="107"/>
    </row>
    <row r="61" spans="1:16" s="37" customFormat="1" ht="21.75" customHeight="1" x14ac:dyDescent="0.25">
      <c r="A61" s="263"/>
      <c r="B61" s="296"/>
      <c r="C61" s="63"/>
      <c r="D61" s="426" t="s">
        <v>413</v>
      </c>
      <c r="E61" s="298" t="s">
        <v>95</v>
      </c>
      <c r="F61" s="351"/>
      <c r="G61" s="442" t="s">
        <v>412</v>
      </c>
      <c r="H61" s="295" t="s">
        <v>96</v>
      </c>
      <c r="I61" s="350"/>
      <c r="J61" s="265" t="str">
        <f>'Moors League'!L52</f>
        <v>3.03.73</v>
      </c>
      <c r="K61" s="274">
        <f>'Moors League'!M52</f>
        <v>2</v>
      </c>
      <c r="L61" s="83"/>
      <c r="M61" s="196"/>
      <c r="N61" s="102" t="str">
        <f>_xlfn.IFNA((VLOOKUP(L61,'DQ Lookup'!$A$2:$B$59,2,FALSE)),"")</f>
        <v/>
      </c>
      <c r="O61" s="111"/>
      <c r="P61" s="107">
        <f>4.42-4.74</f>
        <v>-0.32000000000000028</v>
      </c>
    </row>
    <row r="62" spans="1:16" s="37" customFormat="1" ht="21.75" customHeight="1" x14ac:dyDescent="0.25">
      <c r="A62" s="263">
        <v>45</v>
      </c>
      <c r="B62" s="39" t="s">
        <v>89</v>
      </c>
      <c r="C62" s="63" t="s">
        <v>108</v>
      </c>
      <c r="D62" s="427" t="s">
        <v>405</v>
      </c>
      <c r="E62" s="277"/>
      <c r="F62" s="436">
        <f>'Moors League'!L53</f>
        <v>32.44</v>
      </c>
      <c r="G62" s="430"/>
      <c r="H62" s="290"/>
      <c r="I62" s="281"/>
      <c r="J62" s="38"/>
      <c r="K62" s="267">
        <f>'Moors League'!M53</f>
        <v>1</v>
      </c>
      <c r="L62" s="56"/>
      <c r="N62" s="102" t="str">
        <f>_xlfn.IFNA((VLOOKUP(L62,'DQ Lookup'!$A$2:$B$59,2,FALSE)),"")</f>
        <v/>
      </c>
      <c r="O62" s="111"/>
      <c r="P62" s="107">
        <f t="shared" ref="P62:P71" si="3">O62-F62</f>
        <v>-32.44</v>
      </c>
    </row>
    <row r="63" spans="1:16" s="37" customFormat="1" ht="21.75" customHeight="1" x14ac:dyDescent="0.25">
      <c r="A63" s="263">
        <v>46</v>
      </c>
      <c r="B63" s="39" t="s">
        <v>91</v>
      </c>
      <c r="C63" s="63" t="s">
        <v>108</v>
      </c>
      <c r="D63" s="427" t="s">
        <v>414</v>
      </c>
      <c r="E63" s="277"/>
      <c r="F63" s="436">
        <f>'Moors League'!L54</f>
        <v>32.270000000000003</v>
      </c>
      <c r="G63" s="430"/>
      <c r="H63" s="290"/>
      <c r="I63" s="281"/>
      <c r="J63" s="38"/>
      <c r="K63" s="267">
        <f>'Moors League'!M54</f>
        <v>4</v>
      </c>
      <c r="L63" s="56"/>
      <c r="N63" s="102" t="str">
        <f>_xlfn.IFNA((VLOOKUP(L63,'DQ Lookup'!$A$2:$B$59,2,FALSE)),"")</f>
        <v/>
      </c>
      <c r="O63" s="111"/>
      <c r="P63" s="107">
        <f t="shared" si="3"/>
        <v>-32.270000000000003</v>
      </c>
    </row>
    <row r="64" spans="1:16" s="37" customFormat="1" ht="21.75" customHeight="1" x14ac:dyDescent="0.25">
      <c r="A64" s="263">
        <v>47</v>
      </c>
      <c r="B64" s="39" t="s">
        <v>86</v>
      </c>
      <c r="C64" s="63" t="s">
        <v>109</v>
      </c>
      <c r="D64" s="427" t="s">
        <v>404</v>
      </c>
      <c r="E64" s="277"/>
      <c r="F64" s="436">
        <f>'Moors League'!L55</f>
        <v>24.59</v>
      </c>
      <c r="G64" s="430"/>
      <c r="H64" s="290"/>
      <c r="I64" s="281"/>
      <c r="J64" s="38"/>
      <c r="K64" s="267">
        <f>'Moors League'!M55</f>
        <v>2</v>
      </c>
      <c r="L64" s="56"/>
      <c r="N64" s="102" t="str">
        <f>_xlfn.IFNA((VLOOKUP(L64,'DQ Lookup'!$A$2:$B$59,2,FALSE)),"")</f>
        <v/>
      </c>
      <c r="O64" s="111"/>
      <c r="P64" s="107">
        <f t="shared" si="3"/>
        <v>-24.59</v>
      </c>
    </row>
    <row r="65" spans="1:16" s="37" customFormat="1" ht="21.75" customHeight="1" x14ac:dyDescent="0.25">
      <c r="A65" s="263">
        <v>48</v>
      </c>
      <c r="B65" s="39" t="s">
        <v>88</v>
      </c>
      <c r="C65" s="63" t="s">
        <v>109</v>
      </c>
      <c r="D65" s="427" t="s">
        <v>401</v>
      </c>
      <c r="E65" s="277"/>
      <c r="F65" s="436">
        <f>'Moors League'!L56</f>
        <v>19.62</v>
      </c>
      <c r="G65" s="430"/>
      <c r="H65" s="290"/>
      <c r="I65" s="281"/>
      <c r="J65" s="38"/>
      <c r="K65" s="267">
        <f>'Moors League'!M56</f>
        <v>4</v>
      </c>
      <c r="L65" s="56"/>
      <c r="N65" s="102" t="str">
        <f>_xlfn.IFNA((VLOOKUP(L65,'DQ Lookup'!$A$2:$B$59,2,FALSE)),"")</f>
        <v/>
      </c>
      <c r="O65" s="111"/>
      <c r="P65" s="107">
        <f t="shared" si="3"/>
        <v>-19.62</v>
      </c>
    </row>
    <row r="66" spans="1:16" s="37" customFormat="1" ht="21.75" customHeight="1" x14ac:dyDescent="0.25">
      <c r="A66" s="263">
        <v>49</v>
      </c>
      <c r="B66" s="39" t="s">
        <v>83</v>
      </c>
      <c r="C66" s="63" t="s">
        <v>110</v>
      </c>
      <c r="D66" s="427" t="s">
        <v>408</v>
      </c>
      <c r="E66" s="277"/>
      <c r="F66" s="436">
        <f>'Moors League'!L57</f>
        <v>37.99</v>
      </c>
      <c r="G66" s="430"/>
      <c r="H66" s="290"/>
      <c r="I66" s="281"/>
      <c r="J66" s="38"/>
      <c r="K66" s="267">
        <f>'Moors League'!M57</f>
        <v>3</v>
      </c>
      <c r="L66" s="56"/>
      <c r="N66" s="102" t="str">
        <f>_xlfn.IFNA((VLOOKUP(L66,'DQ Lookup'!$A$2:$B$59,2,FALSE)),"")</f>
        <v/>
      </c>
      <c r="O66" s="111"/>
      <c r="P66" s="107">
        <f t="shared" si="3"/>
        <v>-37.99</v>
      </c>
    </row>
    <row r="67" spans="1:16" s="37" customFormat="1" ht="21.75" customHeight="1" x14ac:dyDescent="0.25">
      <c r="A67" s="263">
        <v>50</v>
      </c>
      <c r="B67" s="39" t="s">
        <v>85</v>
      </c>
      <c r="C67" s="63" t="s">
        <v>110</v>
      </c>
      <c r="D67" s="427" t="s">
        <v>399</v>
      </c>
      <c r="E67" s="277"/>
      <c r="F67" s="436">
        <f>'Moors League'!L58</f>
        <v>35.72</v>
      </c>
      <c r="G67" s="430"/>
      <c r="H67" s="290"/>
      <c r="I67" s="281"/>
      <c r="J67" s="38"/>
      <c r="K67" s="267">
        <f>'Moors League'!M58</f>
        <v>1</v>
      </c>
      <c r="L67" s="83"/>
      <c r="N67" s="102" t="str">
        <f>_xlfn.IFNA((VLOOKUP(L67,'DQ Lookup'!$A$2:$B$59,2,FALSE)),"")</f>
        <v/>
      </c>
      <c r="O67" s="111"/>
      <c r="P67" s="107">
        <f t="shared" si="3"/>
        <v>-35.72</v>
      </c>
    </row>
    <row r="68" spans="1:16" s="37" customFormat="1" ht="21.75" customHeight="1" x14ac:dyDescent="0.25">
      <c r="A68" s="263">
        <v>51</v>
      </c>
      <c r="B68" s="39" t="s">
        <v>80</v>
      </c>
      <c r="C68" s="63" t="s">
        <v>97</v>
      </c>
      <c r="D68" s="427" t="s">
        <v>410</v>
      </c>
      <c r="E68" s="277"/>
      <c r="F68" s="436">
        <f>'Moors League'!L59</f>
        <v>49.55</v>
      </c>
      <c r="G68" s="430"/>
      <c r="H68" s="290"/>
      <c r="I68" s="281"/>
      <c r="J68" s="38"/>
      <c r="K68" s="267">
        <f>'Moors League'!M59</f>
        <v>1</v>
      </c>
      <c r="L68" s="56"/>
      <c r="N68" s="102" t="str">
        <f>_xlfn.IFNA((VLOOKUP(L68,'DQ Lookup'!$A$2:$B$59,2,FALSE)),"")</f>
        <v/>
      </c>
      <c r="O68" s="111"/>
      <c r="P68" s="107">
        <f t="shared" si="3"/>
        <v>-49.55</v>
      </c>
    </row>
    <row r="69" spans="1:16" s="37" customFormat="1" ht="21.75" customHeight="1" x14ac:dyDescent="0.25">
      <c r="A69" s="263">
        <v>52</v>
      </c>
      <c r="B69" s="39" t="s">
        <v>82</v>
      </c>
      <c r="C69" s="63" t="s">
        <v>97</v>
      </c>
      <c r="D69" s="427" t="s">
        <v>421</v>
      </c>
      <c r="E69" s="277"/>
      <c r="F69" s="436">
        <f>'Moors League'!L60</f>
        <v>49.79</v>
      </c>
      <c r="G69" s="433"/>
      <c r="H69" s="290"/>
      <c r="I69" s="281"/>
      <c r="J69" s="38"/>
      <c r="K69" s="267">
        <f>'Moors League'!M60</f>
        <v>2</v>
      </c>
      <c r="L69" s="56"/>
      <c r="N69" s="102" t="str">
        <f>_xlfn.IFNA((VLOOKUP(L69,'DQ Lookup'!$A$2:$B$59,2,FALSE)),"")</f>
        <v/>
      </c>
      <c r="O69" s="111"/>
      <c r="P69" s="107">
        <f t="shared" si="3"/>
        <v>-49.79</v>
      </c>
    </row>
    <row r="70" spans="1:16" s="37" customFormat="1" ht="21.75" customHeight="1" x14ac:dyDescent="0.25">
      <c r="A70" s="263">
        <v>53</v>
      </c>
      <c r="B70" s="39" t="s">
        <v>77</v>
      </c>
      <c r="C70" s="63" t="s">
        <v>101</v>
      </c>
      <c r="D70" s="427" t="s">
        <v>576</v>
      </c>
      <c r="E70" s="277"/>
      <c r="F70" s="436">
        <f>'Moors League'!L61</f>
        <v>31.26</v>
      </c>
      <c r="G70" s="430"/>
      <c r="H70" s="290"/>
      <c r="I70" s="281"/>
      <c r="J70" s="38"/>
      <c r="K70" s="267">
        <f>'Moors League'!M61</f>
        <v>1</v>
      </c>
      <c r="L70" s="56"/>
      <c r="N70" s="102" t="str">
        <f>_xlfn.IFNA((VLOOKUP(L70,'DQ Lookup'!$A$2:$B$59,2,FALSE)),"")</f>
        <v/>
      </c>
      <c r="O70" s="111"/>
      <c r="P70" s="107">
        <f t="shared" si="3"/>
        <v>-31.26</v>
      </c>
    </row>
    <row r="71" spans="1:16" s="37" customFormat="1" ht="21.75" customHeight="1" x14ac:dyDescent="0.25">
      <c r="A71" s="263">
        <v>54</v>
      </c>
      <c r="B71" s="39" t="s">
        <v>79</v>
      </c>
      <c r="C71" s="63" t="s">
        <v>101</v>
      </c>
      <c r="D71" s="427" t="s">
        <v>409</v>
      </c>
      <c r="E71" s="277"/>
      <c r="F71" s="436">
        <f>'Moors League'!L62</f>
        <v>27.49</v>
      </c>
      <c r="G71" s="430"/>
      <c r="H71" s="290"/>
      <c r="I71" s="281"/>
      <c r="J71" s="38"/>
      <c r="K71" s="267">
        <f>'Moors League'!M62</f>
        <v>2</v>
      </c>
      <c r="L71" s="56"/>
      <c r="N71" s="102" t="str">
        <f>_xlfn.IFNA((VLOOKUP(L71,'DQ Lookup'!$A$2:$B$59,2,FALSE)),"")</f>
        <v/>
      </c>
      <c r="O71" s="111"/>
      <c r="P71" s="107">
        <f t="shared" si="3"/>
        <v>-27.49</v>
      </c>
    </row>
    <row r="72" spans="1:16" s="37" customFormat="1" ht="21.75" customHeight="1" x14ac:dyDescent="0.25">
      <c r="A72" s="263">
        <v>55</v>
      </c>
      <c r="B72" s="39" t="s">
        <v>89</v>
      </c>
      <c r="C72" s="63" t="s">
        <v>186</v>
      </c>
      <c r="D72" s="427" t="s">
        <v>402</v>
      </c>
      <c r="E72" s="277"/>
      <c r="F72" s="351"/>
      <c r="G72" s="422" t="s">
        <v>422</v>
      </c>
      <c r="H72" s="301"/>
      <c r="I72" s="352"/>
      <c r="J72" s="302"/>
      <c r="K72" s="273"/>
      <c r="L72" s="56"/>
      <c r="N72" s="102" t="str">
        <f>_xlfn.IFNA((VLOOKUP(L72,'DQ Lookup'!$A$2:$B$59,2,FALSE)),"")</f>
        <v/>
      </c>
      <c r="O72" s="111"/>
      <c r="P72" s="107"/>
    </row>
    <row r="73" spans="1:16" s="37" customFormat="1" ht="36.75" x14ac:dyDescent="0.25">
      <c r="A73" s="263"/>
      <c r="B73" s="296"/>
      <c r="C73" s="63"/>
      <c r="D73" s="427" t="s">
        <v>408</v>
      </c>
      <c r="E73" s="277"/>
      <c r="F73" s="351"/>
      <c r="G73" s="422" t="s">
        <v>429</v>
      </c>
      <c r="H73" s="303"/>
      <c r="I73" s="350"/>
      <c r="J73" s="265" t="str">
        <f>'Moors League'!L63</f>
        <v>DSQ</v>
      </c>
      <c r="K73" s="274">
        <f>'Moors League'!M63</f>
        <v>0</v>
      </c>
      <c r="L73" s="56">
        <v>10.119999999999999</v>
      </c>
      <c r="M73" s="37" t="s">
        <v>501</v>
      </c>
      <c r="N73" s="102" t="str">
        <f>_xlfn.IFNA((VLOOKUP(L73,'DQ Lookup'!$A$2:$B$59,2,FALSE)),"")</f>
        <v>Feet lost touch with starting platform before preceding team-mate touched the wall</v>
      </c>
      <c r="O73" s="111"/>
      <c r="P73" s="107">
        <f>27.5-27.65</f>
        <v>-0.14999999999999858</v>
      </c>
    </row>
    <row r="74" spans="1:16" s="37" customFormat="1" ht="21.75" customHeight="1" x14ac:dyDescent="0.25">
      <c r="A74" s="263">
        <v>56</v>
      </c>
      <c r="B74" s="39" t="s">
        <v>91</v>
      </c>
      <c r="C74" s="63" t="s">
        <v>186</v>
      </c>
      <c r="D74" s="427" t="s">
        <v>414</v>
      </c>
      <c r="E74" s="277"/>
      <c r="F74" s="351"/>
      <c r="G74" s="422" t="s">
        <v>406</v>
      </c>
      <c r="H74" s="304"/>
      <c r="I74" s="350"/>
      <c r="J74" s="299"/>
      <c r="K74" s="273"/>
      <c r="L74" s="56"/>
      <c r="N74" s="102" t="str">
        <f>_xlfn.IFNA((VLOOKUP(L74,'DQ Lookup'!$A$2:$B$59,2,FALSE)),"")</f>
        <v/>
      </c>
      <c r="O74" s="111"/>
      <c r="P74" s="107"/>
    </row>
    <row r="75" spans="1:16" s="37" customFormat="1" ht="21.75" customHeight="1" x14ac:dyDescent="0.25">
      <c r="A75" s="263"/>
      <c r="B75" s="296"/>
      <c r="C75" s="63"/>
      <c r="D75" s="427" t="s">
        <v>412</v>
      </c>
      <c r="E75" s="277"/>
      <c r="F75" s="351"/>
      <c r="G75" s="422" t="s">
        <v>427</v>
      </c>
      <c r="H75" s="304"/>
      <c r="I75" s="350"/>
      <c r="J75" s="265" t="str">
        <f>'Moors League'!L64</f>
        <v>2.25.46</v>
      </c>
      <c r="K75" s="274">
        <f>'Moors League'!M64</f>
        <v>2</v>
      </c>
      <c r="L75" s="56"/>
      <c r="N75" s="102" t="str">
        <f>_xlfn.IFNA((VLOOKUP(L75,'DQ Lookup'!$A$2:$B$59,2,FALSE)),"")</f>
        <v/>
      </c>
      <c r="O75" s="111"/>
      <c r="P75" s="107">
        <f>7.1-7.29</f>
        <v>-0.19000000000000039</v>
      </c>
    </row>
    <row r="76" spans="1:16" s="305" customFormat="1" ht="21.75" customHeight="1" x14ac:dyDescent="0.25">
      <c r="A76" s="263">
        <v>57</v>
      </c>
      <c r="B76" s="36" t="s">
        <v>102</v>
      </c>
      <c r="C76" s="63" t="s">
        <v>92</v>
      </c>
      <c r="D76" s="432" t="s">
        <v>416</v>
      </c>
      <c r="E76" s="298" t="s">
        <v>93</v>
      </c>
      <c r="F76" s="351"/>
      <c r="G76" s="422" t="s">
        <v>419</v>
      </c>
      <c r="H76" s="295" t="s">
        <v>94</v>
      </c>
      <c r="I76" s="350"/>
      <c r="J76" s="90"/>
      <c r="K76" s="273"/>
      <c r="L76" s="56"/>
      <c r="N76" s="102" t="str">
        <f>_xlfn.IFNA((VLOOKUP(L76,'DQ Lookup'!$A$2:$B$59,2,FALSE)),"")</f>
        <v/>
      </c>
      <c r="O76" s="111"/>
      <c r="P76" s="107"/>
    </row>
    <row r="77" spans="1:16" s="305" customFormat="1" ht="21.75" customHeight="1" x14ac:dyDescent="0.25">
      <c r="A77" s="263"/>
      <c r="B77" s="306"/>
      <c r="C77" s="152"/>
      <c r="D77" s="422" t="s">
        <v>404</v>
      </c>
      <c r="E77" s="298" t="s">
        <v>95</v>
      </c>
      <c r="F77" s="351"/>
      <c r="G77" s="422" t="s">
        <v>430</v>
      </c>
      <c r="H77" s="295" t="s">
        <v>96</v>
      </c>
      <c r="I77" s="350"/>
      <c r="J77" s="265" t="str">
        <f>'Moors League'!L65</f>
        <v>1.58.84</v>
      </c>
      <c r="K77" s="274">
        <f>'Moors League'!M65</f>
        <v>2</v>
      </c>
      <c r="L77" s="56"/>
      <c r="N77" s="102" t="str">
        <f>_xlfn.IFNA((VLOOKUP(L77,'DQ Lookup'!$A$2:$B$59,2,FALSE)),"")</f>
        <v/>
      </c>
      <c r="O77" s="111"/>
      <c r="P77" s="107">
        <f>1.16-1.35</f>
        <v>-0.19000000000000017</v>
      </c>
    </row>
    <row r="78" spans="1:16" s="37" customFormat="1" ht="21.75" customHeight="1" x14ac:dyDescent="0.25">
      <c r="A78" s="263">
        <v>58</v>
      </c>
      <c r="B78" s="39" t="s">
        <v>103</v>
      </c>
      <c r="C78" s="63" t="s">
        <v>92</v>
      </c>
      <c r="D78" s="422" t="s">
        <v>417</v>
      </c>
      <c r="E78" s="298" t="s">
        <v>93</v>
      </c>
      <c r="F78" s="351"/>
      <c r="G78" s="422" t="s">
        <v>431</v>
      </c>
      <c r="H78" s="295" t="s">
        <v>94</v>
      </c>
      <c r="I78" s="350"/>
      <c r="J78" s="490"/>
      <c r="K78" s="490"/>
      <c r="L78" s="307"/>
      <c r="N78" s="101"/>
      <c r="O78" s="111"/>
      <c r="P78" s="107"/>
    </row>
    <row r="79" spans="1:16" s="37" customFormat="1" ht="21.75" customHeight="1" x14ac:dyDescent="0.25">
      <c r="A79" s="263"/>
      <c r="B79" s="296"/>
      <c r="C79" s="63"/>
      <c r="D79" s="422" t="s">
        <v>401</v>
      </c>
      <c r="E79" s="298" t="s">
        <v>95</v>
      </c>
      <c r="F79" s="351"/>
      <c r="G79" s="422" t="s">
        <v>432</v>
      </c>
      <c r="H79" s="308" t="s">
        <v>96</v>
      </c>
      <c r="I79" s="350"/>
      <c r="J79" s="265" t="str">
        <f>'Moors League'!L66</f>
        <v>1.38.51</v>
      </c>
      <c r="K79" s="274">
        <f>'Moors League'!M66</f>
        <v>3</v>
      </c>
      <c r="L79" s="56"/>
      <c r="N79" s="102" t="str">
        <f>_xlfn.IFNA((VLOOKUP(L79,'DQ Lookup'!$A$2:$B$59,2,FALSE)),"")</f>
        <v/>
      </c>
      <c r="O79" s="111"/>
      <c r="P79" s="107"/>
    </row>
    <row r="80" spans="1:16" s="37" customFormat="1" ht="21.75" customHeight="1" x14ac:dyDescent="0.25">
      <c r="A80" s="263">
        <v>59</v>
      </c>
      <c r="B80" s="39" t="s">
        <v>111</v>
      </c>
      <c r="C80" s="63" t="s">
        <v>186</v>
      </c>
      <c r="D80" s="423" t="s">
        <v>418</v>
      </c>
      <c r="E80" s="277"/>
      <c r="F80" s="351"/>
      <c r="G80" s="422" t="s">
        <v>433</v>
      </c>
      <c r="H80" s="309"/>
      <c r="I80" s="350"/>
      <c r="J80" s="310"/>
      <c r="K80" s="273"/>
      <c r="L80" s="56"/>
      <c r="N80" s="102" t="str">
        <f>_xlfn.IFNA((VLOOKUP(L80,'DQ Lookup'!$A$2:$B$59,2,FALSE)),"")</f>
        <v/>
      </c>
      <c r="O80" s="111"/>
      <c r="P80" s="107"/>
    </row>
    <row r="81" spans="1:16" s="37" customFormat="1" ht="21.75" customHeight="1" x14ac:dyDescent="0.25">
      <c r="A81" s="263"/>
      <c r="B81" s="296"/>
      <c r="C81" s="63"/>
      <c r="D81" s="423" t="s">
        <v>402</v>
      </c>
      <c r="E81" s="277"/>
      <c r="F81" s="351"/>
      <c r="G81" s="422" t="s">
        <v>434</v>
      </c>
      <c r="H81" s="309"/>
      <c r="I81" s="350"/>
      <c r="J81" s="265" t="str">
        <f>'Moors League'!L67</f>
        <v>2.16.19</v>
      </c>
      <c r="K81" s="274">
        <f>'Moors League'!M67</f>
        <v>2</v>
      </c>
      <c r="L81" s="56"/>
      <c r="N81" s="102" t="str">
        <f>_xlfn.IFNA((VLOOKUP(L81,'DQ Lookup'!$A$2:$B$59,2,FALSE)),"")</f>
        <v/>
      </c>
      <c r="O81" s="111"/>
      <c r="P81" s="107">
        <f>19.9-20.02</f>
        <v>-0.12000000000000099</v>
      </c>
    </row>
    <row r="82" spans="1:16" s="37" customFormat="1" ht="21.75" customHeight="1" x14ac:dyDescent="0.25">
      <c r="A82" s="263">
        <v>60</v>
      </c>
      <c r="B82" s="39" t="s">
        <v>104</v>
      </c>
      <c r="C82" s="63" t="s">
        <v>186</v>
      </c>
      <c r="D82" s="423" t="s">
        <v>399</v>
      </c>
      <c r="E82" s="277"/>
      <c r="F82" s="351"/>
      <c r="G82" s="422" t="s">
        <v>414</v>
      </c>
      <c r="H82" s="311"/>
      <c r="I82" s="350"/>
      <c r="J82" s="38"/>
      <c r="K82" s="273"/>
      <c r="L82" s="56"/>
      <c r="N82" s="102" t="str">
        <f>_xlfn.IFNA((VLOOKUP(L82,'DQ Lookup'!$A$2:$B$59,2,FALSE)),"")</f>
        <v/>
      </c>
      <c r="O82" s="111"/>
      <c r="P82" s="107"/>
    </row>
    <row r="83" spans="1:16" s="37" customFormat="1" ht="21.75" customHeight="1" x14ac:dyDescent="0.25">
      <c r="A83" s="263"/>
      <c r="B83" s="296"/>
      <c r="C83" s="63"/>
      <c r="D83" s="423" t="s">
        <v>406</v>
      </c>
      <c r="E83" s="277"/>
      <c r="F83" s="351"/>
      <c r="G83" s="422" t="s">
        <v>425</v>
      </c>
      <c r="H83" s="311"/>
      <c r="I83" s="350"/>
      <c r="J83" s="265" t="str">
        <f>'Moors League'!L68</f>
        <v>2.07.13</v>
      </c>
      <c r="K83" s="274">
        <f>'Moors League'!M68</f>
        <v>3</v>
      </c>
      <c r="L83" s="56"/>
      <c r="N83" s="102" t="str">
        <f>_xlfn.IFNA((VLOOKUP(L83,'DQ Lookup'!$A$2:$B$59,2,FALSE)),"")</f>
        <v/>
      </c>
      <c r="O83" s="111"/>
      <c r="P83" s="107"/>
    </row>
    <row r="84" spans="1:16" s="37" customFormat="1" ht="21.75" customHeight="1" x14ac:dyDescent="0.25">
      <c r="A84" s="263">
        <v>61</v>
      </c>
      <c r="B84" s="39" t="s">
        <v>113</v>
      </c>
      <c r="C84" s="63" t="s">
        <v>185</v>
      </c>
      <c r="D84" s="421" t="s">
        <v>404</v>
      </c>
      <c r="E84" s="264"/>
      <c r="F84" s="351"/>
      <c r="G84" s="435" t="s">
        <v>428</v>
      </c>
      <c r="H84" s="309"/>
      <c r="I84" s="350"/>
      <c r="J84" s="38"/>
      <c r="K84" s="273"/>
      <c r="L84" s="56"/>
      <c r="N84" s="102" t="str">
        <f>_xlfn.IFNA((VLOOKUP(L84,'DQ Lookup'!$A$2:$B$59,2,FALSE)),"")</f>
        <v/>
      </c>
      <c r="O84" s="111"/>
      <c r="P84" s="107"/>
    </row>
    <row r="85" spans="1:16" s="37" customFormat="1" ht="21.75" customHeight="1" x14ac:dyDescent="0.25">
      <c r="A85" s="263"/>
      <c r="B85" s="296"/>
      <c r="C85" s="63"/>
      <c r="D85" s="421" t="s">
        <v>410</v>
      </c>
      <c r="E85" s="264"/>
      <c r="F85" s="351"/>
      <c r="G85" s="435" t="s">
        <v>412</v>
      </c>
      <c r="H85" s="311"/>
      <c r="I85" s="350"/>
      <c r="J85" s="38"/>
      <c r="K85" s="273"/>
      <c r="L85" s="273"/>
      <c r="N85" s="101"/>
      <c r="O85" s="111"/>
      <c r="P85" s="107"/>
    </row>
    <row r="86" spans="1:16" s="37" customFormat="1" ht="21.75" customHeight="1" x14ac:dyDescent="0.25">
      <c r="A86" s="263"/>
      <c r="B86" s="296"/>
      <c r="C86" s="312"/>
      <c r="D86" s="421" t="s">
        <v>422</v>
      </c>
      <c r="E86" s="264"/>
      <c r="F86" s="351"/>
      <c r="G86" s="435" t="s">
        <v>414</v>
      </c>
      <c r="H86" s="309"/>
      <c r="I86" s="350"/>
      <c r="J86" s="38"/>
      <c r="K86" s="273"/>
      <c r="L86" s="273"/>
      <c r="N86" s="101"/>
      <c r="O86" s="111"/>
      <c r="P86" s="107"/>
    </row>
    <row r="87" spans="1:16" s="37" customFormat="1" ht="21.75" customHeight="1" x14ac:dyDescent="0.25">
      <c r="A87" s="263" t="s">
        <v>114</v>
      </c>
      <c r="B87" s="296"/>
      <c r="C87" s="312"/>
      <c r="D87" s="421" t="s">
        <v>418</v>
      </c>
      <c r="E87" s="264"/>
      <c r="F87" s="351"/>
      <c r="G87" s="435" t="s">
        <v>399</v>
      </c>
      <c r="H87" s="311"/>
      <c r="I87" s="350"/>
      <c r="J87" s="38"/>
      <c r="K87" s="273"/>
      <c r="L87" s="273"/>
      <c r="N87" s="101"/>
      <c r="O87" s="111"/>
      <c r="P87" s="107"/>
    </row>
    <row r="88" spans="1:16" s="37" customFormat="1" ht="21.75" customHeight="1" thickBot="1" x14ac:dyDescent="0.3">
      <c r="A88" s="263"/>
      <c r="B88" s="296"/>
      <c r="C88" s="312"/>
      <c r="D88" s="421" t="s">
        <v>398</v>
      </c>
      <c r="E88" s="264"/>
      <c r="F88" s="351"/>
      <c r="G88" s="435" t="s">
        <v>435</v>
      </c>
      <c r="H88" s="313"/>
      <c r="I88" s="353"/>
      <c r="J88" s="314" t="str">
        <f>'Moors League'!L69</f>
        <v>5.38.10</v>
      </c>
      <c r="K88" s="315">
        <f>'Moors League'!M69</f>
        <v>3</v>
      </c>
      <c r="L88" s="56"/>
      <c r="N88" s="102" t="str">
        <f>_xlfn.IFNA((VLOOKUP(L88,'DQ Lookup'!$A$2:$B$59,2,FALSE)),"")</f>
        <v/>
      </c>
      <c r="O88" s="111"/>
      <c r="P88" s="107">
        <f>43.46-43.5</f>
        <v>-3.9999999999999147E-2</v>
      </c>
    </row>
    <row r="89" spans="1:16" ht="24.75" customHeight="1" thickBot="1" x14ac:dyDescent="0.35">
      <c r="F89" s="250"/>
      <c r="G89" s="75"/>
      <c r="H89" s="488" t="s">
        <v>71</v>
      </c>
      <c r="I89" s="489"/>
      <c r="J89" s="489"/>
      <c r="K89" s="318">
        <f>SUM(K4:K88)</f>
        <v>123</v>
      </c>
      <c r="L89" s="56"/>
      <c r="N89" s="102"/>
    </row>
    <row r="90" spans="1:16" x14ac:dyDescent="0.2">
      <c r="L90" s="57"/>
      <c r="N90" s="102"/>
    </row>
    <row r="91" spans="1:16" x14ac:dyDescent="0.2">
      <c r="L91" s="57"/>
      <c r="N91" s="102"/>
    </row>
    <row r="92" spans="1:16" x14ac:dyDescent="0.2">
      <c r="L92" s="57"/>
      <c r="N92" s="102"/>
    </row>
    <row r="93" spans="1:16" x14ac:dyDescent="0.2">
      <c r="L93" s="57"/>
      <c r="N93" s="102"/>
    </row>
    <row r="94" spans="1:16" x14ac:dyDescent="0.2">
      <c r="L94" s="57"/>
      <c r="N94" s="102"/>
    </row>
    <row r="95" spans="1:16" x14ac:dyDescent="0.2">
      <c r="L95" s="57"/>
      <c r="N95" s="102"/>
    </row>
    <row r="96" spans="1:16" x14ac:dyDescent="0.2">
      <c r="L96" s="57"/>
      <c r="N96" s="102"/>
    </row>
    <row r="97" spans="12:14" x14ac:dyDescent="0.2">
      <c r="L97" s="57"/>
      <c r="N97" s="102"/>
    </row>
    <row r="98" spans="12:14" x14ac:dyDescent="0.2">
      <c r="L98" s="57"/>
      <c r="N98" s="102"/>
    </row>
    <row r="99" spans="12:14" x14ac:dyDescent="0.2">
      <c r="L99" s="57"/>
      <c r="N99" s="102"/>
    </row>
    <row r="100" spans="12:14" x14ac:dyDescent="0.2">
      <c r="L100" s="57"/>
      <c r="N100" s="102"/>
    </row>
    <row r="101" spans="12:14" x14ac:dyDescent="0.2">
      <c r="L101" s="57"/>
      <c r="N101" s="102"/>
    </row>
    <row r="102" spans="12:14" x14ac:dyDescent="0.2">
      <c r="L102" s="57"/>
      <c r="N102" s="102"/>
    </row>
    <row r="103" spans="12:14" x14ac:dyDescent="0.2">
      <c r="L103" s="57"/>
      <c r="N103" s="102"/>
    </row>
    <row r="104" spans="12:14" x14ac:dyDescent="0.2">
      <c r="L104" s="57"/>
      <c r="N104" s="102"/>
    </row>
    <row r="105" spans="12:14" x14ac:dyDescent="0.2">
      <c r="L105" s="57"/>
      <c r="N105" s="102"/>
    </row>
    <row r="106" spans="12:14" x14ac:dyDescent="0.2">
      <c r="L106" s="57"/>
      <c r="N106" s="102"/>
    </row>
    <row r="107" spans="12:14" x14ac:dyDescent="0.2">
      <c r="L107" s="57"/>
      <c r="N107" s="102"/>
    </row>
    <row r="108" spans="12:14" x14ac:dyDescent="0.2">
      <c r="L108" s="57"/>
      <c r="N108" s="102"/>
    </row>
    <row r="109" spans="12:14" x14ac:dyDescent="0.2">
      <c r="L109" s="57"/>
      <c r="N109" s="102"/>
    </row>
    <row r="110" spans="12:14" x14ac:dyDescent="0.2">
      <c r="L110" s="57"/>
      <c r="N110" s="102"/>
    </row>
    <row r="111" spans="12:14" x14ac:dyDescent="0.2">
      <c r="L111" s="57"/>
      <c r="N111" s="102"/>
    </row>
    <row r="112" spans="12:14" x14ac:dyDescent="0.2">
      <c r="L112" s="57"/>
      <c r="N112" s="102"/>
    </row>
    <row r="113" spans="12:14" x14ac:dyDescent="0.2">
      <c r="L113" s="57"/>
      <c r="N113" s="102"/>
    </row>
    <row r="114" spans="12:14" x14ac:dyDescent="0.2">
      <c r="L114" s="57"/>
      <c r="N114" s="102"/>
    </row>
    <row r="115" spans="12:14" x14ac:dyDescent="0.2">
      <c r="L115" s="57"/>
      <c r="N115" s="102"/>
    </row>
    <row r="116" spans="12:14" x14ac:dyDescent="0.2">
      <c r="L116" s="57"/>
      <c r="N116" s="102"/>
    </row>
    <row r="117" spans="12:14" x14ac:dyDescent="0.2">
      <c r="L117" s="57"/>
      <c r="N117" s="102"/>
    </row>
    <row r="118" spans="12:14" x14ac:dyDescent="0.2">
      <c r="L118" s="57"/>
      <c r="N118" s="102"/>
    </row>
    <row r="119" spans="12:14" x14ac:dyDescent="0.2">
      <c r="L119" s="57"/>
      <c r="N119" s="102"/>
    </row>
    <row r="120" spans="12:14" x14ac:dyDescent="0.2">
      <c r="L120" s="57"/>
      <c r="N120" s="102"/>
    </row>
    <row r="121" spans="12:14" x14ac:dyDescent="0.2">
      <c r="L121" s="57"/>
      <c r="N121" s="102"/>
    </row>
    <row r="122" spans="12:14" x14ac:dyDescent="0.2">
      <c r="L122" s="57"/>
      <c r="N122" s="102"/>
    </row>
    <row r="123" spans="12:14" x14ac:dyDescent="0.2">
      <c r="L123" s="57"/>
      <c r="N123" s="102"/>
    </row>
    <row r="124" spans="12:14" x14ac:dyDescent="0.2">
      <c r="L124" s="57"/>
      <c r="N124" s="102"/>
    </row>
    <row r="125" spans="12:14" x14ac:dyDescent="0.2">
      <c r="L125" s="57"/>
      <c r="N125" s="102"/>
    </row>
    <row r="126" spans="12:14" x14ac:dyDescent="0.2">
      <c r="L126" s="57"/>
      <c r="N126" s="102"/>
    </row>
    <row r="127" spans="12:14" x14ac:dyDescent="0.2">
      <c r="L127" s="57"/>
      <c r="N127" s="102"/>
    </row>
    <row r="128" spans="12:14" x14ac:dyDescent="0.2">
      <c r="L128" s="57"/>
      <c r="N128" s="102"/>
    </row>
    <row r="129" spans="12:14" x14ac:dyDescent="0.2">
      <c r="L129" s="57"/>
      <c r="N129" s="102"/>
    </row>
    <row r="130" spans="12:14" x14ac:dyDescent="0.2">
      <c r="L130" s="57"/>
      <c r="N130" s="102"/>
    </row>
    <row r="131" spans="12:14" x14ac:dyDescent="0.2">
      <c r="L131" s="57"/>
      <c r="N131" s="102"/>
    </row>
    <row r="132" spans="12:14" x14ac:dyDescent="0.2">
      <c r="L132" s="57"/>
      <c r="N132" s="102"/>
    </row>
    <row r="133" spans="12:14" x14ac:dyDescent="0.2">
      <c r="L133" s="57"/>
      <c r="N133" s="102"/>
    </row>
    <row r="134" spans="12:14" x14ac:dyDescent="0.2">
      <c r="L134" s="57"/>
      <c r="N134" s="102"/>
    </row>
    <row r="135" spans="12:14" x14ac:dyDescent="0.2">
      <c r="L135" s="57"/>
      <c r="N135" s="102"/>
    </row>
    <row r="136" spans="12:14" x14ac:dyDescent="0.2">
      <c r="L136" s="57"/>
      <c r="N136" s="102"/>
    </row>
    <row r="137" spans="12:14" x14ac:dyDescent="0.2">
      <c r="L137" s="57"/>
      <c r="N137" s="102"/>
    </row>
  </sheetData>
  <sheetProtection selectLockedCells="1" selectUnlockedCells="1"/>
  <protectedRanges>
    <protectedRange sqref="G14:G21" name="Range1_1"/>
  </protectedRanges>
  <mergeCells count="6">
    <mergeCell ref="A1:D1"/>
    <mergeCell ref="A2:B2"/>
    <mergeCell ref="J60:O60"/>
    <mergeCell ref="H89:J89"/>
    <mergeCell ref="J78:K78"/>
    <mergeCell ref="J40:N40"/>
  </mergeCells>
  <pageMargins left="0.70833333333333337" right="0.70833333333333337" top="0.74791666666666667" bottom="0.74791666666666667" header="0.51180555555555551" footer="0.51180555555555551"/>
  <pageSetup paperSize="9" scale="75" firstPageNumber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'DQ Lookup'!$A$2:$A$59</xm:f>
          </x14:formula1>
          <xm:sqref>L4:L88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37"/>
  <sheetViews>
    <sheetView topLeftCell="A48" workbookViewId="0">
      <selection activeCell="Q59" sqref="Q59"/>
    </sheetView>
  </sheetViews>
  <sheetFormatPr defaultRowHeight="12.75" x14ac:dyDescent="0.2"/>
  <cols>
    <col min="1" max="1" width="3.7109375" style="49" customWidth="1"/>
    <col min="2" max="2" width="14.140625" style="1" customWidth="1"/>
    <col min="3" max="3" width="19.28515625" style="1" customWidth="1"/>
    <col min="4" max="4" width="25" style="1" customWidth="1"/>
    <col min="5" max="5" width="12" style="56" customWidth="1"/>
    <col min="6" max="6" width="9.140625" style="46"/>
    <col min="7" max="7" width="23.140625" style="1" customWidth="1"/>
    <col min="8" max="8" width="10.140625" style="46" customWidth="1"/>
    <col min="9" max="9" width="10.140625" style="56" customWidth="1"/>
    <col min="10" max="10" width="8.42578125" style="47" customWidth="1"/>
    <col min="11" max="11" width="9.140625" style="48"/>
    <col min="12" max="12" width="9.140625" style="23"/>
    <col min="13" max="13" width="9.140625" style="1"/>
    <col min="14" max="14" width="27.85546875" style="170" bestFit="1" customWidth="1"/>
    <col min="15" max="15" width="0" style="129" hidden="1" customWidth="1"/>
    <col min="16" max="16" width="0" style="104" hidden="1" customWidth="1"/>
    <col min="17" max="16384" width="9.140625" style="1"/>
  </cols>
  <sheetData>
    <row r="1" spans="1:16" s="59" customFormat="1" ht="29.25" customHeight="1" x14ac:dyDescent="0.4">
      <c r="A1" s="476" t="s">
        <v>75</v>
      </c>
      <c r="B1" s="476"/>
      <c r="C1" s="476"/>
      <c r="D1" s="476"/>
      <c r="E1" s="246"/>
      <c r="F1" s="320"/>
      <c r="G1" s="59" t="str">
        <f>'Moors League'!X86</f>
        <v>Northallerton</v>
      </c>
      <c r="H1" s="320"/>
      <c r="I1" s="246"/>
      <c r="J1" s="321"/>
      <c r="K1" s="322"/>
      <c r="L1" s="23"/>
      <c r="N1" s="170"/>
      <c r="O1" s="129"/>
      <c r="P1" s="104"/>
    </row>
    <row r="2" spans="1:16" s="42" customFormat="1" ht="18.75" x14ac:dyDescent="0.3">
      <c r="A2" s="492" t="s">
        <v>1</v>
      </c>
      <c r="B2" s="492"/>
      <c r="C2" s="41" t="str">
        <f>'Moors League'!C3</f>
        <v>Redcar Leisure Centre (Host Stokesley)</v>
      </c>
      <c r="D2" s="41"/>
      <c r="E2" s="123"/>
      <c r="F2" s="42" t="s">
        <v>76</v>
      </c>
      <c r="G2" s="43" t="str">
        <f>'Moors League'!L3</f>
        <v>17th June 2023</v>
      </c>
      <c r="I2" s="122"/>
      <c r="J2" s="44"/>
      <c r="K2" s="45"/>
      <c r="L2" s="29"/>
      <c r="N2" s="171"/>
      <c r="O2" s="126" t="s">
        <v>181</v>
      </c>
      <c r="P2" s="105" t="s">
        <v>182</v>
      </c>
    </row>
    <row r="3" spans="1:16" x14ac:dyDescent="0.2">
      <c r="K3" s="50" t="s">
        <v>16</v>
      </c>
      <c r="L3" s="71" t="s">
        <v>284</v>
      </c>
      <c r="M3" s="71" t="s">
        <v>286</v>
      </c>
      <c r="N3" s="172" t="s">
        <v>285</v>
      </c>
      <c r="O3" s="127"/>
      <c r="P3" s="106"/>
    </row>
    <row r="4" spans="1:16" ht="21.75" customHeight="1" x14ac:dyDescent="0.2">
      <c r="A4" s="51">
        <v>1</v>
      </c>
      <c r="B4" s="36" t="s">
        <v>77</v>
      </c>
      <c r="C4" s="63" t="s">
        <v>78</v>
      </c>
      <c r="D4" s="443" t="s">
        <v>436</v>
      </c>
      <c r="E4" s="445"/>
      <c r="F4" s="95">
        <f>'Moors League'!P9</f>
        <v>33.840000000000003</v>
      </c>
      <c r="G4" s="324"/>
      <c r="H4" s="52"/>
      <c r="I4" s="124"/>
      <c r="K4" s="53">
        <f>'Moors League'!Q9</f>
        <v>2</v>
      </c>
      <c r="L4" s="56"/>
      <c r="N4" s="102" t="str">
        <f>_xlfn.IFNA((VLOOKUP(L4,'DQ Lookup'!$A$2:$B$59,2,FALSE)),"")</f>
        <v/>
      </c>
      <c r="O4" s="127"/>
      <c r="P4" s="107">
        <f>O4-F4</f>
        <v>-33.840000000000003</v>
      </c>
    </row>
    <row r="5" spans="1:16" ht="21.75" customHeight="1" x14ac:dyDescent="0.25">
      <c r="A5" s="51">
        <v>2</v>
      </c>
      <c r="B5" s="36" t="s">
        <v>79</v>
      </c>
      <c r="C5" s="63" t="s">
        <v>78</v>
      </c>
      <c r="D5" s="443" t="s">
        <v>437</v>
      </c>
      <c r="E5" s="446"/>
      <c r="F5" s="95">
        <f>'Moors League'!P10</f>
        <v>35.369999999999997</v>
      </c>
      <c r="G5" s="325"/>
      <c r="H5" s="52"/>
      <c r="I5" s="124"/>
      <c r="K5" s="53">
        <f>'Moors League'!Q10</f>
        <v>1</v>
      </c>
      <c r="L5" s="56"/>
      <c r="N5" s="102" t="str">
        <f>_xlfn.IFNA((VLOOKUP(L5,'DQ Lookup'!$A$2:$B$59,2,FALSE)),"")</f>
        <v/>
      </c>
      <c r="O5" s="127"/>
      <c r="P5" s="107">
        <f t="shared" ref="P5:P68" si="0">O5-F5</f>
        <v>-35.369999999999997</v>
      </c>
    </row>
    <row r="6" spans="1:16" ht="21.75" customHeight="1" x14ac:dyDescent="0.25">
      <c r="A6" s="51">
        <v>3</v>
      </c>
      <c r="B6" s="36" t="s">
        <v>80</v>
      </c>
      <c r="C6" s="63" t="s">
        <v>81</v>
      </c>
      <c r="D6" s="443" t="s">
        <v>438</v>
      </c>
      <c r="E6" s="446"/>
      <c r="F6" s="95">
        <f>'Moors League'!P11</f>
        <v>40.93</v>
      </c>
      <c r="G6" s="326"/>
      <c r="H6" s="52"/>
      <c r="I6" s="124"/>
      <c r="K6" s="53">
        <f>'Moors League'!Q11</f>
        <v>2</v>
      </c>
      <c r="L6" s="56"/>
      <c r="N6" s="102" t="str">
        <f>_xlfn.IFNA((VLOOKUP(L6,'DQ Lookup'!$A$2:$B$59,2,FALSE)),"")</f>
        <v/>
      </c>
      <c r="O6" s="127"/>
      <c r="P6" s="107">
        <f t="shared" si="0"/>
        <v>-40.93</v>
      </c>
    </row>
    <row r="7" spans="1:16" ht="21.75" customHeight="1" x14ac:dyDescent="0.25">
      <c r="A7" s="51">
        <v>4</v>
      </c>
      <c r="B7" s="36" t="s">
        <v>82</v>
      </c>
      <c r="C7" s="63" t="s">
        <v>81</v>
      </c>
      <c r="D7" s="443" t="s">
        <v>439</v>
      </c>
      <c r="E7" s="445"/>
      <c r="F7" s="95">
        <f>'Moors League'!P12</f>
        <v>36.43</v>
      </c>
      <c r="G7" s="326"/>
      <c r="H7" s="52"/>
      <c r="I7" s="124"/>
      <c r="K7" s="53">
        <f>'Moors League'!Q12</f>
        <v>4</v>
      </c>
      <c r="L7" s="56"/>
      <c r="N7" s="102" t="str">
        <f>_xlfn.IFNA((VLOOKUP(L7,'DQ Lookup'!$A$2:$B$59,2,FALSE)),"")</f>
        <v/>
      </c>
      <c r="O7" s="127"/>
      <c r="P7" s="107"/>
    </row>
    <row r="8" spans="1:16" ht="21.75" customHeight="1" x14ac:dyDescent="0.2">
      <c r="A8" s="51">
        <v>5</v>
      </c>
      <c r="B8" s="36" t="s">
        <v>83</v>
      </c>
      <c r="C8" s="63" t="s">
        <v>84</v>
      </c>
      <c r="D8" s="443" t="s">
        <v>440</v>
      </c>
      <c r="E8" s="445"/>
      <c r="F8" s="95">
        <f>'Moors League'!P13</f>
        <v>43.08</v>
      </c>
      <c r="G8" s="327"/>
      <c r="H8" s="52"/>
      <c r="I8" s="124"/>
      <c r="K8" s="53">
        <f>'Moors League'!Q13</f>
        <v>2</v>
      </c>
      <c r="L8" s="56"/>
      <c r="N8" s="102" t="str">
        <f>_xlfn.IFNA((VLOOKUP(L8,'DQ Lookup'!$A$2:$B$59,2,FALSE)),"")</f>
        <v/>
      </c>
      <c r="O8" s="127"/>
      <c r="P8" s="107">
        <f t="shared" si="0"/>
        <v>-43.08</v>
      </c>
    </row>
    <row r="9" spans="1:16" ht="21.75" customHeight="1" x14ac:dyDescent="0.25">
      <c r="A9" s="51">
        <v>6</v>
      </c>
      <c r="B9" s="36" t="s">
        <v>85</v>
      </c>
      <c r="C9" s="63" t="s">
        <v>84</v>
      </c>
      <c r="D9" s="443" t="s">
        <v>441</v>
      </c>
      <c r="E9" s="445"/>
      <c r="F9" s="95">
        <f>'Moors League'!P14</f>
        <v>35.33</v>
      </c>
      <c r="G9" s="328"/>
      <c r="H9" s="52"/>
      <c r="I9" s="124"/>
      <c r="K9" s="53">
        <f>'Moors League'!Q14</f>
        <v>4</v>
      </c>
      <c r="L9" s="56"/>
      <c r="N9" s="102" t="str">
        <f>_xlfn.IFNA((VLOOKUP(L9,'DQ Lookup'!$A$2:$B$59,2,FALSE)),"")</f>
        <v/>
      </c>
      <c r="O9" s="127"/>
      <c r="P9" s="107">
        <f t="shared" si="0"/>
        <v>-35.33</v>
      </c>
    </row>
    <row r="10" spans="1:16" ht="21.75" customHeight="1" x14ac:dyDescent="0.25">
      <c r="A10" s="51">
        <v>7</v>
      </c>
      <c r="B10" s="36" t="s">
        <v>86</v>
      </c>
      <c r="C10" s="63" t="s">
        <v>87</v>
      </c>
      <c r="D10" s="443" t="s">
        <v>442</v>
      </c>
      <c r="E10" s="445"/>
      <c r="F10" s="95">
        <f>'Moors League'!P15</f>
        <v>19</v>
      </c>
      <c r="G10" s="329"/>
      <c r="H10" s="52"/>
      <c r="I10" s="124"/>
      <c r="K10" s="53">
        <f>'Moors League'!Q15</f>
        <v>2</v>
      </c>
      <c r="L10" s="56"/>
      <c r="N10" s="102" t="str">
        <f>_xlfn.IFNA((VLOOKUP(L10,'DQ Lookup'!$A$2:$B$59,2,FALSE)),"")</f>
        <v/>
      </c>
      <c r="O10" s="127"/>
      <c r="P10" s="107">
        <f t="shared" si="0"/>
        <v>-19</v>
      </c>
    </row>
    <row r="11" spans="1:16" ht="21.75" customHeight="1" x14ac:dyDescent="0.25">
      <c r="A11" s="51">
        <v>8</v>
      </c>
      <c r="B11" s="36" t="s">
        <v>88</v>
      </c>
      <c r="C11" s="63" t="s">
        <v>87</v>
      </c>
      <c r="D11" s="443" t="s">
        <v>443</v>
      </c>
      <c r="E11" s="445"/>
      <c r="F11" s="95">
        <f>'Moors League'!P16</f>
        <v>19.79</v>
      </c>
      <c r="G11" s="328"/>
      <c r="H11" s="52"/>
      <c r="I11" s="124"/>
      <c r="K11" s="53">
        <f>'Moors League'!Q16</f>
        <v>1</v>
      </c>
      <c r="L11" s="56"/>
      <c r="N11" s="102" t="str">
        <f>_xlfn.IFNA((VLOOKUP(L11,'DQ Lookup'!$A$2:$B$59,2,FALSE)),"")</f>
        <v/>
      </c>
      <c r="O11" s="127"/>
      <c r="P11" s="107">
        <f t="shared" si="0"/>
        <v>-19.79</v>
      </c>
    </row>
    <row r="12" spans="1:16" ht="21.75" customHeight="1" x14ac:dyDescent="0.2">
      <c r="A12" s="51">
        <v>9</v>
      </c>
      <c r="B12" s="36" t="s">
        <v>89</v>
      </c>
      <c r="C12" s="63" t="s">
        <v>90</v>
      </c>
      <c r="D12" s="443" t="s">
        <v>444</v>
      </c>
      <c r="E12" s="445"/>
      <c r="F12" s="95">
        <f>'Moors League'!P17</f>
        <v>33.08</v>
      </c>
      <c r="G12" s="330"/>
      <c r="H12" s="52"/>
      <c r="I12" s="124"/>
      <c r="K12" s="53">
        <f>'Moors League'!Q17</f>
        <v>4</v>
      </c>
      <c r="L12" s="56"/>
      <c r="N12" s="102" t="str">
        <f>_xlfn.IFNA((VLOOKUP(L12,'DQ Lookup'!$A$2:$B$59,2,FALSE)),"")</f>
        <v/>
      </c>
      <c r="O12" s="127"/>
      <c r="P12" s="107">
        <f t="shared" si="0"/>
        <v>-33.08</v>
      </c>
    </row>
    <row r="13" spans="1:16" ht="21.75" customHeight="1" x14ac:dyDescent="0.2">
      <c r="A13" s="51">
        <v>10</v>
      </c>
      <c r="B13" s="36" t="s">
        <v>91</v>
      </c>
      <c r="C13" s="63" t="s">
        <v>90</v>
      </c>
      <c r="D13" s="443" t="s">
        <v>445</v>
      </c>
      <c r="E13" s="445"/>
      <c r="F13" s="95">
        <f>'Moors League'!P18</f>
        <v>40.69</v>
      </c>
      <c r="G13" s="331"/>
      <c r="H13" s="52"/>
      <c r="I13" s="124"/>
      <c r="K13" s="53">
        <f>'Moors League'!Q18</f>
        <v>2</v>
      </c>
      <c r="L13" s="56"/>
      <c r="N13" s="102" t="str">
        <f>_xlfn.IFNA((VLOOKUP(L13,'DQ Lookup'!$A$2:$B$59,2,FALSE)),"")</f>
        <v/>
      </c>
      <c r="O13" s="127"/>
      <c r="P13" s="107">
        <f t="shared" si="0"/>
        <v>-40.69</v>
      </c>
    </row>
    <row r="14" spans="1:16" ht="21.75" customHeight="1" x14ac:dyDescent="0.25">
      <c r="A14" s="51">
        <v>11</v>
      </c>
      <c r="B14" s="36" t="s">
        <v>77</v>
      </c>
      <c r="C14" s="63" t="s">
        <v>183</v>
      </c>
      <c r="D14" s="443" t="s">
        <v>446</v>
      </c>
      <c r="E14" s="445" t="s">
        <v>93</v>
      </c>
      <c r="F14" s="365"/>
      <c r="G14" s="443" t="s">
        <v>462</v>
      </c>
      <c r="H14" s="92" t="s">
        <v>94</v>
      </c>
      <c r="I14" s="193"/>
      <c r="J14" s="54"/>
      <c r="K14" s="50"/>
      <c r="L14" s="273"/>
      <c r="N14" s="100"/>
      <c r="O14" s="127"/>
      <c r="P14" s="107"/>
    </row>
    <row r="15" spans="1:16" ht="21.75" customHeight="1" x14ac:dyDescent="0.2">
      <c r="A15" s="51"/>
      <c r="B15" s="36"/>
      <c r="C15" s="63"/>
      <c r="D15" s="443" t="s">
        <v>447</v>
      </c>
      <c r="E15" s="445" t="s">
        <v>95</v>
      </c>
      <c r="F15" s="365"/>
      <c r="G15" s="443" t="s">
        <v>436</v>
      </c>
      <c r="H15" s="92" t="s">
        <v>96</v>
      </c>
      <c r="I15" s="193"/>
      <c r="J15" s="55" t="str">
        <f>'Moors League'!P19</f>
        <v>2.19.25</v>
      </c>
      <c r="K15" s="332">
        <f>'Moors League'!Q19</f>
        <v>3</v>
      </c>
      <c r="L15" s="56"/>
      <c r="N15" s="102" t="str">
        <f>_xlfn.IFNA((VLOOKUP(L15,'DQ Lookup'!$A$2:$B$59,2,FALSE)),"")</f>
        <v/>
      </c>
      <c r="O15" s="127"/>
      <c r="P15" s="107">
        <f>3.56-3.63</f>
        <v>-6.999999999999984E-2</v>
      </c>
    </row>
    <row r="16" spans="1:16" ht="21.75" customHeight="1" x14ac:dyDescent="0.2">
      <c r="A16" s="51">
        <v>12</v>
      </c>
      <c r="B16" s="36" t="s">
        <v>79</v>
      </c>
      <c r="C16" s="63" t="s">
        <v>183</v>
      </c>
      <c r="D16" s="443" t="s">
        <v>448</v>
      </c>
      <c r="E16" s="445" t="s">
        <v>93</v>
      </c>
      <c r="F16" s="365"/>
      <c r="G16" s="443" t="s">
        <v>463</v>
      </c>
      <c r="H16" s="92" t="s">
        <v>94</v>
      </c>
      <c r="I16" s="193"/>
      <c r="J16" s="54"/>
      <c r="K16" s="333"/>
      <c r="L16" s="56"/>
      <c r="N16" s="102" t="str">
        <f>_xlfn.IFNA((VLOOKUP(L16,'DQ Lookup'!$A$2:$B$59,2,FALSE)),"")</f>
        <v/>
      </c>
      <c r="O16" s="127"/>
      <c r="P16" s="107"/>
    </row>
    <row r="17" spans="1:16" ht="21.75" customHeight="1" x14ac:dyDescent="0.2">
      <c r="A17" s="51"/>
      <c r="B17" s="36"/>
      <c r="C17" s="86"/>
      <c r="D17" s="443" t="s">
        <v>437</v>
      </c>
      <c r="E17" s="445" t="s">
        <v>95</v>
      </c>
      <c r="F17" s="365"/>
      <c r="G17" s="443" t="s">
        <v>461</v>
      </c>
      <c r="H17" s="92" t="s">
        <v>96</v>
      </c>
      <c r="I17" s="193"/>
      <c r="J17" s="55" t="str">
        <f>'Moors League'!P20</f>
        <v>2.22.15</v>
      </c>
      <c r="K17" s="332">
        <f>'Moors League'!Q20</f>
        <v>1</v>
      </c>
      <c r="L17" s="56"/>
      <c r="N17" s="102" t="str">
        <f>_xlfn.IFNA((VLOOKUP(L17,'DQ Lookup'!$A$2:$B$59,2,FALSE)),"")</f>
        <v/>
      </c>
      <c r="O17" s="127"/>
      <c r="P17" s="107">
        <f>6.38-6.4</f>
        <v>-2.0000000000000462E-2</v>
      </c>
    </row>
    <row r="18" spans="1:16" ht="21.75" customHeight="1" x14ac:dyDescent="0.2">
      <c r="A18" s="51">
        <v>13</v>
      </c>
      <c r="B18" s="63" t="s">
        <v>80</v>
      </c>
      <c r="C18" s="152" t="s">
        <v>184</v>
      </c>
      <c r="D18" s="443" t="s">
        <v>449</v>
      </c>
      <c r="E18" s="446"/>
      <c r="F18" s="365"/>
      <c r="G18" s="443" t="s">
        <v>460</v>
      </c>
      <c r="H18" s="96"/>
      <c r="I18" s="193"/>
      <c r="J18" s="54"/>
      <c r="K18" s="333"/>
      <c r="L18" s="56"/>
      <c r="N18" s="102" t="str">
        <f>_xlfn.IFNA((VLOOKUP(L18,'DQ Lookup'!$A$2:$B$59,2,FALSE)),"")</f>
        <v/>
      </c>
      <c r="O18" s="127"/>
      <c r="P18" s="107"/>
    </row>
    <row r="19" spans="1:16" ht="21.75" customHeight="1" x14ac:dyDescent="0.2">
      <c r="A19" s="51"/>
      <c r="B19" s="63"/>
      <c r="C19" s="152"/>
      <c r="D19" s="443" t="s">
        <v>438</v>
      </c>
      <c r="E19" s="446"/>
      <c r="F19" s="365"/>
      <c r="G19" s="443" t="s">
        <v>464</v>
      </c>
      <c r="H19" s="96"/>
      <c r="I19" s="193"/>
      <c r="J19" s="55" t="str">
        <f>'Moors League'!P21</f>
        <v>2.27.13</v>
      </c>
      <c r="K19" s="332">
        <f>'Moors League'!Q21</f>
        <v>2</v>
      </c>
      <c r="L19" s="56"/>
      <c r="N19" s="102" t="str">
        <f>_xlfn.IFNA((VLOOKUP(L19,'DQ Lookup'!$A$2:$B$59,2,FALSE)),"")</f>
        <v/>
      </c>
      <c r="O19" s="127"/>
      <c r="P19" s="107">
        <f>9.87-9.96</f>
        <v>-9.0000000000001634E-2</v>
      </c>
    </row>
    <row r="20" spans="1:16" ht="21.75" customHeight="1" x14ac:dyDescent="0.2">
      <c r="A20" s="51">
        <v>14</v>
      </c>
      <c r="B20" s="63" t="s">
        <v>82</v>
      </c>
      <c r="C20" s="152" t="s">
        <v>184</v>
      </c>
      <c r="D20" s="443" t="s">
        <v>450</v>
      </c>
      <c r="E20" s="446"/>
      <c r="F20" s="365"/>
      <c r="G20" s="443" t="s">
        <v>465</v>
      </c>
      <c r="H20" s="96"/>
      <c r="I20" s="193"/>
      <c r="J20" s="54"/>
      <c r="K20" s="333"/>
      <c r="L20" s="56"/>
      <c r="N20" s="102" t="str">
        <f>_xlfn.IFNA((VLOOKUP(L20,'DQ Lookup'!$A$2:$B$59,2,FALSE)),"")</f>
        <v/>
      </c>
      <c r="O20" s="127"/>
      <c r="P20" s="107"/>
    </row>
    <row r="21" spans="1:16" ht="21.75" customHeight="1" x14ac:dyDescent="0.2">
      <c r="A21" s="51"/>
      <c r="B21" s="63"/>
      <c r="C21" s="152"/>
      <c r="D21" s="443" t="s">
        <v>439</v>
      </c>
      <c r="E21" s="446"/>
      <c r="F21" s="365"/>
      <c r="G21" s="443" t="s">
        <v>466</v>
      </c>
      <c r="H21" s="96"/>
      <c r="I21" s="193"/>
      <c r="J21" s="55" t="str">
        <f>'Moors League'!P22</f>
        <v>2.26.19</v>
      </c>
      <c r="K21" s="332">
        <f>'Moors League'!Q22</f>
        <v>3</v>
      </c>
      <c r="L21" s="56"/>
      <c r="N21" s="102" t="str">
        <f>_xlfn.IFNA((VLOOKUP(L21,'DQ Lookup'!$A$2:$B$59,2,FALSE)),"")</f>
        <v/>
      </c>
      <c r="O21" s="127"/>
      <c r="P21" s="107"/>
    </row>
    <row r="22" spans="1:16" ht="21.75" customHeight="1" x14ac:dyDescent="0.25">
      <c r="A22" s="51">
        <v>15</v>
      </c>
      <c r="B22" s="63" t="s">
        <v>89</v>
      </c>
      <c r="C22" s="152" t="s">
        <v>97</v>
      </c>
      <c r="D22" s="443" t="s">
        <v>451</v>
      </c>
      <c r="E22" s="446"/>
      <c r="F22" s="95">
        <f>'Moors League'!P23</f>
        <v>46.68</v>
      </c>
      <c r="G22" s="334"/>
      <c r="I22" s="130"/>
      <c r="K22" s="332">
        <f>'Moors League'!Q23</f>
        <v>2</v>
      </c>
      <c r="L22" s="56"/>
      <c r="N22" s="102" t="str">
        <f>_xlfn.IFNA((VLOOKUP(L22,'DQ Lookup'!$A$2:$B$59,2,FALSE)),"")</f>
        <v/>
      </c>
      <c r="O22" s="127"/>
      <c r="P22" s="107">
        <f t="shared" si="0"/>
        <v>-46.68</v>
      </c>
    </row>
    <row r="23" spans="1:16" ht="36.75" x14ac:dyDescent="0.25">
      <c r="A23" s="51">
        <v>16</v>
      </c>
      <c r="B23" s="63" t="s">
        <v>91</v>
      </c>
      <c r="C23" s="152" t="s">
        <v>97</v>
      </c>
      <c r="D23" s="443" t="s">
        <v>445</v>
      </c>
      <c r="E23" s="446"/>
      <c r="F23" s="95" t="str">
        <f>'Moors League'!P24</f>
        <v>DSQ</v>
      </c>
      <c r="G23" s="334"/>
      <c r="I23" s="130"/>
      <c r="K23" s="332">
        <f>'Moors League'!Q24</f>
        <v>0</v>
      </c>
      <c r="L23" s="56" t="s">
        <v>266</v>
      </c>
      <c r="M23" s="1" t="s">
        <v>514</v>
      </c>
      <c r="N23" s="102" t="str">
        <f>_xlfn.IFNA((VLOOKUP(L23,'DQ Lookup'!$A$2:$B$59,2,FALSE)),"")</f>
        <v>More than one butterfly kick prior to the first breaststroke kick after the start or turn</v>
      </c>
      <c r="O23" s="127"/>
      <c r="P23" s="107" t="e">
        <f t="shared" si="0"/>
        <v>#VALUE!</v>
      </c>
    </row>
    <row r="24" spans="1:16" ht="21.75" customHeight="1" x14ac:dyDescent="0.25">
      <c r="A24" s="51">
        <v>17</v>
      </c>
      <c r="B24" s="63" t="s">
        <v>86</v>
      </c>
      <c r="C24" s="152" t="s">
        <v>98</v>
      </c>
      <c r="D24" s="443" t="s">
        <v>452</v>
      </c>
      <c r="E24" s="446"/>
      <c r="F24" s="95">
        <f>'Moors League'!P25</f>
        <v>21.94</v>
      </c>
      <c r="G24" s="334"/>
      <c r="I24" s="130"/>
      <c r="K24" s="332">
        <f>'Moors League'!Q25</f>
        <v>2</v>
      </c>
      <c r="L24" s="56"/>
      <c r="N24" s="102" t="str">
        <f>_xlfn.IFNA((VLOOKUP(L24,'DQ Lookup'!$A$2:$B$59,2,FALSE)),"")</f>
        <v/>
      </c>
      <c r="O24" s="127"/>
      <c r="P24" s="107">
        <f t="shared" si="0"/>
        <v>-21.94</v>
      </c>
    </row>
    <row r="25" spans="1:16" ht="21.75" customHeight="1" x14ac:dyDescent="0.25">
      <c r="A25" s="51">
        <v>18</v>
      </c>
      <c r="B25" s="36" t="s">
        <v>88</v>
      </c>
      <c r="C25" s="88" t="s">
        <v>98</v>
      </c>
      <c r="D25" s="443" t="s">
        <v>453</v>
      </c>
      <c r="E25" s="446"/>
      <c r="F25" s="95">
        <f>'Moors League'!P26</f>
        <v>21.13</v>
      </c>
      <c r="G25" s="334"/>
      <c r="I25" s="130"/>
      <c r="K25" s="332">
        <f>'Moors League'!Q26</f>
        <v>2</v>
      </c>
      <c r="L25" s="56"/>
      <c r="N25" s="102" t="str">
        <f>_xlfn.IFNA((VLOOKUP(L25,'DQ Lookup'!$A$2:$B$59,2,FALSE)),"")</f>
        <v/>
      </c>
      <c r="O25" s="127"/>
      <c r="P25" s="107">
        <f t="shared" si="0"/>
        <v>-21.13</v>
      </c>
    </row>
    <row r="26" spans="1:16" ht="21.75" customHeight="1" x14ac:dyDescent="0.25">
      <c r="A26" s="51">
        <v>19</v>
      </c>
      <c r="B26" s="36" t="s">
        <v>83</v>
      </c>
      <c r="C26" s="63" t="s">
        <v>100</v>
      </c>
      <c r="D26" s="443" t="s">
        <v>447</v>
      </c>
      <c r="E26" s="446"/>
      <c r="F26" s="95">
        <f>'Moors League'!P27</f>
        <v>34.950000000000003</v>
      </c>
      <c r="G26" s="334"/>
      <c r="I26" s="130"/>
      <c r="K26" s="332">
        <f>'Moors League'!Q27</f>
        <v>2</v>
      </c>
      <c r="L26" s="56"/>
      <c r="N26" s="102" t="str">
        <f>_xlfn.IFNA((VLOOKUP(L26,'DQ Lookup'!$A$2:$B$59,2,FALSE)),"")</f>
        <v/>
      </c>
      <c r="O26" s="127"/>
      <c r="P26" s="107">
        <f t="shared" si="0"/>
        <v>-34.950000000000003</v>
      </c>
    </row>
    <row r="27" spans="1:16" ht="21.75" customHeight="1" x14ac:dyDescent="0.25">
      <c r="A27" s="51">
        <v>20</v>
      </c>
      <c r="B27" s="36" t="s">
        <v>85</v>
      </c>
      <c r="C27" s="63" t="s">
        <v>100</v>
      </c>
      <c r="D27" s="443" t="s">
        <v>441</v>
      </c>
      <c r="E27" s="446"/>
      <c r="F27" s="95">
        <f>'Moors League'!P28</f>
        <v>30.11</v>
      </c>
      <c r="G27" s="334"/>
      <c r="I27" s="130"/>
      <c r="K27" s="332">
        <f>'Moors League'!Q28</f>
        <v>4</v>
      </c>
      <c r="L27" s="56"/>
      <c r="N27" s="102" t="str">
        <f>_xlfn.IFNA((VLOOKUP(L27,'DQ Lookup'!$A$2:$B$59,2,FALSE)),"")</f>
        <v/>
      </c>
      <c r="O27" s="127"/>
      <c r="P27" s="107">
        <f t="shared" si="0"/>
        <v>-30.11</v>
      </c>
    </row>
    <row r="28" spans="1:16" ht="21.75" customHeight="1" x14ac:dyDescent="0.25">
      <c r="A28" s="51">
        <v>21</v>
      </c>
      <c r="B28" s="36" t="s">
        <v>80</v>
      </c>
      <c r="C28" s="63" t="s">
        <v>101</v>
      </c>
      <c r="D28" s="443" t="s">
        <v>449</v>
      </c>
      <c r="E28" s="446"/>
      <c r="F28" s="95">
        <f>'Moors League'!P29</f>
        <v>33.46</v>
      </c>
      <c r="G28" s="334"/>
      <c r="I28" s="130"/>
      <c r="K28" s="332">
        <f>'Moors League'!Q29</f>
        <v>4</v>
      </c>
      <c r="L28" s="56"/>
      <c r="N28" s="102" t="str">
        <f>_xlfn.IFNA((VLOOKUP(L28,'DQ Lookup'!$A$2:$B$59,2,FALSE)),"")</f>
        <v/>
      </c>
      <c r="O28" s="127"/>
      <c r="P28" s="107">
        <f t="shared" si="0"/>
        <v>-33.46</v>
      </c>
    </row>
    <row r="29" spans="1:16" ht="21.75" customHeight="1" x14ac:dyDescent="0.25">
      <c r="A29" s="51">
        <v>22</v>
      </c>
      <c r="B29" s="36" t="s">
        <v>82</v>
      </c>
      <c r="C29" s="63" t="s">
        <v>101</v>
      </c>
      <c r="D29" s="443" t="s">
        <v>439</v>
      </c>
      <c r="E29" s="446"/>
      <c r="F29" s="95">
        <f>'Moors League'!P30</f>
        <v>31.98</v>
      </c>
      <c r="G29" s="334"/>
      <c r="I29" s="130"/>
      <c r="K29" s="332">
        <f>'Moors League'!Q30</f>
        <v>4</v>
      </c>
      <c r="L29" s="56"/>
      <c r="N29" s="102" t="str">
        <f>_xlfn.IFNA((VLOOKUP(L29,'DQ Lookup'!$A$2:$B$59,2,FALSE)),"")</f>
        <v/>
      </c>
      <c r="O29" s="127"/>
      <c r="P29" s="107">
        <f t="shared" si="0"/>
        <v>-31.98</v>
      </c>
    </row>
    <row r="30" spans="1:16" ht="21.75" customHeight="1" x14ac:dyDescent="0.25">
      <c r="A30" s="51">
        <v>23</v>
      </c>
      <c r="B30" s="36" t="s">
        <v>77</v>
      </c>
      <c r="C30" s="63" t="s">
        <v>97</v>
      </c>
      <c r="D30" s="443" t="s">
        <v>436</v>
      </c>
      <c r="E30" s="446"/>
      <c r="F30" s="95">
        <f>'Moors League'!P31</f>
        <v>44.14</v>
      </c>
      <c r="G30" s="334"/>
      <c r="I30" s="130"/>
      <c r="K30" s="332">
        <f>'Moors League'!Q31</f>
        <v>1</v>
      </c>
      <c r="L30" s="56"/>
      <c r="N30" s="102" t="str">
        <f>_xlfn.IFNA((VLOOKUP(L30,'DQ Lookup'!$A$2:$B$59,2,FALSE)),"")</f>
        <v/>
      </c>
      <c r="O30" s="127"/>
      <c r="P30" s="107">
        <f t="shared" si="0"/>
        <v>-44.14</v>
      </c>
    </row>
    <row r="31" spans="1:16" ht="21.75" customHeight="1" x14ac:dyDescent="0.25">
      <c r="A31" s="51">
        <v>24</v>
      </c>
      <c r="B31" s="36" t="s">
        <v>79</v>
      </c>
      <c r="C31" s="63" t="s">
        <v>97</v>
      </c>
      <c r="D31" s="443" t="s">
        <v>454</v>
      </c>
      <c r="E31" s="446"/>
      <c r="F31" s="95">
        <f>'Moors League'!P32</f>
        <v>37.619999999999997</v>
      </c>
      <c r="G31" s="334"/>
      <c r="I31" s="130"/>
      <c r="K31" s="332">
        <f>'Moors League'!Q32</f>
        <v>1</v>
      </c>
      <c r="L31" s="56"/>
      <c r="N31" s="102" t="str">
        <f>_xlfn.IFNA((VLOOKUP(L31,'DQ Lookup'!$A$2:$B$59,2,FALSE)),"")</f>
        <v/>
      </c>
      <c r="O31" s="127"/>
      <c r="P31" s="107">
        <f t="shared" si="0"/>
        <v>-37.619999999999997</v>
      </c>
    </row>
    <row r="32" spans="1:16" ht="21.75" customHeight="1" x14ac:dyDescent="0.2">
      <c r="A32" s="51">
        <v>25</v>
      </c>
      <c r="B32" s="36" t="s">
        <v>89</v>
      </c>
      <c r="C32" s="63" t="s">
        <v>183</v>
      </c>
      <c r="D32" s="443" t="s">
        <v>444</v>
      </c>
      <c r="E32" s="92" t="s">
        <v>93</v>
      </c>
      <c r="F32" s="365"/>
      <c r="G32" s="443" t="s">
        <v>451</v>
      </c>
      <c r="H32" s="335" t="s">
        <v>94</v>
      </c>
      <c r="I32" s="193"/>
      <c r="J32" s="54"/>
      <c r="K32" s="50"/>
      <c r="L32" s="56"/>
      <c r="N32" s="102" t="str">
        <f>_xlfn.IFNA((VLOOKUP(L32,'DQ Lookup'!$A$2:$B$59,2,FALSE)),"")</f>
        <v/>
      </c>
      <c r="O32" s="127"/>
      <c r="P32" s="107"/>
    </row>
    <row r="33" spans="1:16" ht="21.75" customHeight="1" x14ac:dyDescent="0.2">
      <c r="A33" s="51"/>
      <c r="B33" s="36"/>
      <c r="C33" s="63"/>
      <c r="D33" s="443" t="s">
        <v>455</v>
      </c>
      <c r="E33" s="92" t="s">
        <v>95</v>
      </c>
      <c r="F33" s="365"/>
      <c r="G33" s="443" t="s">
        <v>467</v>
      </c>
      <c r="H33" s="335" t="s">
        <v>96</v>
      </c>
      <c r="I33" s="193"/>
      <c r="J33" s="55" t="str">
        <f>'Moors League'!P33</f>
        <v>2.29.61</v>
      </c>
      <c r="K33" s="336">
        <f>'Moors League'!Q33</f>
        <v>3</v>
      </c>
      <c r="L33" s="83"/>
      <c r="M33" s="74"/>
      <c r="N33" s="486" t="str">
        <f>_xlfn.IFNA((VLOOKUP(L33,'DQ Lookup'!$A$2:$B$59,2,FALSE)),"")</f>
        <v/>
      </c>
      <c r="O33" s="127"/>
      <c r="P33" s="107">
        <f>4.75-4.95</f>
        <v>-0.20000000000000018</v>
      </c>
    </row>
    <row r="34" spans="1:16" ht="21.75" customHeight="1" x14ac:dyDescent="0.25">
      <c r="A34" s="51">
        <v>26</v>
      </c>
      <c r="B34" s="36" t="s">
        <v>91</v>
      </c>
      <c r="C34" s="63" t="s">
        <v>183</v>
      </c>
      <c r="D34" s="443" t="s">
        <v>456</v>
      </c>
      <c r="E34" s="92" t="s">
        <v>93</v>
      </c>
      <c r="F34" s="365"/>
      <c r="G34" s="444" t="s">
        <v>450</v>
      </c>
      <c r="H34" s="335" t="s">
        <v>94</v>
      </c>
      <c r="I34" s="193"/>
      <c r="K34" s="333"/>
      <c r="L34" s="56"/>
      <c r="N34" s="486"/>
      <c r="O34" s="127"/>
      <c r="P34" s="107"/>
    </row>
    <row r="35" spans="1:16" ht="21.75" customHeight="1" x14ac:dyDescent="0.2">
      <c r="A35" s="51"/>
      <c r="B35" s="36"/>
      <c r="C35" s="63"/>
      <c r="D35" s="443" t="s">
        <v>445</v>
      </c>
      <c r="E35" s="92" t="s">
        <v>95</v>
      </c>
      <c r="F35" s="365"/>
      <c r="G35" s="443" t="s">
        <v>468</v>
      </c>
      <c r="H35" s="335" t="s">
        <v>96</v>
      </c>
      <c r="I35" s="193"/>
      <c r="J35" s="55" t="str">
        <f>'Moors League'!P34</f>
        <v>2.48.11</v>
      </c>
      <c r="K35" s="336">
        <f>'Moors League'!Q34</f>
        <v>2</v>
      </c>
      <c r="L35" s="56"/>
      <c r="N35" s="102" t="str">
        <f>_xlfn.IFNA((VLOOKUP(L35,'DQ Lookup'!$A$2:$B$59,2,FALSE)),"")</f>
        <v/>
      </c>
      <c r="O35" s="127"/>
      <c r="P35" s="107">
        <f>7.19-7.23</f>
        <v>-4.0000000000000036E-2</v>
      </c>
    </row>
    <row r="36" spans="1:16" ht="21.75" customHeight="1" x14ac:dyDescent="0.2">
      <c r="A36" s="51">
        <v>27</v>
      </c>
      <c r="B36" s="36" t="s">
        <v>102</v>
      </c>
      <c r="C36" s="63" t="s">
        <v>112</v>
      </c>
      <c r="D36" s="443" t="s">
        <v>452</v>
      </c>
      <c r="E36" s="92"/>
      <c r="F36" s="365"/>
      <c r="G36" s="443" t="s">
        <v>459</v>
      </c>
      <c r="H36" s="335"/>
      <c r="I36" s="193"/>
      <c r="J36" s="493"/>
      <c r="K36" s="494"/>
      <c r="L36" s="56"/>
      <c r="N36" s="102" t="str">
        <f>_xlfn.IFNA((VLOOKUP(L36,'DQ Lookup'!$A$2:$B$59,2,FALSE)),"")</f>
        <v/>
      </c>
      <c r="O36" s="127"/>
      <c r="P36" s="107"/>
    </row>
    <row r="37" spans="1:16" ht="21.75" customHeight="1" x14ac:dyDescent="0.2">
      <c r="A37" s="51"/>
      <c r="B37" s="337"/>
      <c r="C37" s="63"/>
      <c r="D37" s="443" t="s">
        <v>442</v>
      </c>
      <c r="E37" s="92"/>
      <c r="F37" s="365"/>
      <c r="G37" s="443" t="s">
        <v>469</v>
      </c>
      <c r="H37" s="335"/>
      <c r="I37" s="193"/>
      <c r="J37" s="55" t="str">
        <f>'Moors League'!P35</f>
        <v>1.29.05</v>
      </c>
      <c r="K37" s="336">
        <f>'Moors League'!Q35</f>
        <v>2</v>
      </c>
      <c r="L37" s="56"/>
      <c r="N37" s="102" t="str">
        <f>_xlfn.IFNA((VLOOKUP(L37,'DQ Lookup'!$A$2:$B$59,2,FALSE)),"")</f>
        <v/>
      </c>
      <c r="O37" s="127"/>
      <c r="P37" s="107">
        <f>6.32-6.54</f>
        <v>-0.21999999999999975</v>
      </c>
    </row>
    <row r="38" spans="1:16" ht="21.75" customHeight="1" x14ac:dyDescent="0.2">
      <c r="A38" s="51">
        <v>28</v>
      </c>
      <c r="B38" s="36" t="s">
        <v>103</v>
      </c>
      <c r="C38" s="63" t="s">
        <v>112</v>
      </c>
      <c r="D38" s="443" t="s">
        <v>457</v>
      </c>
      <c r="E38" s="92"/>
      <c r="F38" s="365"/>
      <c r="G38" s="443" t="s">
        <v>443</v>
      </c>
      <c r="H38" s="338"/>
      <c r="I38" s="193"/>
      <c r="J38" s="71"/>
      <c r="K38" s="339"/>
      <c r="L38" s="56"/>
      <c r="N38" s="102" t="str">
        <f>_xlfn.IFNA((VLOOKUP(L38,'DQ Lookup'!$A$2:$B$59,2,FALSE)),"")</f>
        <v/>
      </c>
      <c r="O38" s="127"/>
      <c r="P38" s="107"/>
    </row>
    <row r="39" spans="1:16" ht="21.75" customHeight="1" x14ac:dyDescent="0.2">
      <c r="A39" s="51"/>
      <c r="B39" s="36"/>
      <c r="C39" s="63"/>
      <c r="D39" s="443" t="s">
        <v>453</v>
      </c>
      <c r="E39" s="92"/>
      <c r="F39" s="365"/>
      <c r="G39" s="443" t="s">
        <v>470</v>
      </c>
      <c r="H39" s="335"/>
      <c r="I39" s="193"/>
      <c r="J39" s="55" t="str">
        <f>'Moors League'!P36</f>
        <v>1.29.36</v>
      </c>
      <c r="K39" s="336">
        <f>'Moors League'!Q36</f>
        <v>3</v>
      </c>
      <c r="L39" s="56"/>
      <c r="N39" s="102" t="str">
        <f>_xlfn.IFNA((VLOOKUP(L39,'DQ Lookup'!$A$2:$B$59,2,FALSE)),"")</f>
        <v/>
      </c>
      <c r="O39" s="127"/>
      <c r="P39" s="107">
        <f>7.94-8.13</f>
        <v>-0.19000000000000039</v>
      </c>
    </row>
    <row r="40" spans="1:16" ht="21.75" customHeight="1" x14ac:dyDescent="0.2">
      <c r="A40" s="51">
        <v>29</v>
      </c>
      <c r="B40" s="36" t="s">
        <v>83</v>
      </c>
      <c r="C40" s="63" t="s">
        <v>183</v>
      </c>
      <c r="D40" s="443" t="s">
        <v>447</v>
      </c>
      <c r="E40" s="92" t="s">
        <v>93</v>
      </c>
      <c r="F40" s="365"/>
      <c r="G40" s="443" t="s">
        <v>462</v>
      </c>
      <c r="H40" s="335" t="s">
        <v>94</v>
      </c>
      <c r="I40" s="193"/>
      <c r="K40" s="333"/>
      <c r="L40" s="333"/>
      <c r="N40" s="245"/>
      <c r="O40" s="127"/>
      <c r="P40" s="107"/>
    </row>
    <row r="41" spans="1:16" ht="21.75" customHeight="1" x14ac:dyDescent="0.2">
      <c r="A41" s="51"/>
      <c r="B41" s="36"/>
      <c r="C41" s="63"/>
      <c r="D41" s="443" t="s">
        <v>458</v>
      </c>
      <c r="E41" s="92" t="s">
        <v>95</v>
      </c>
      <c r="F41" s="365"/>
      <c r="G41" s="443" t="s">
        <v>440</v>
      </c>
      <c r="H41" s="335" t="s">
        <v>96</v>
      </c>
      <c r="I41" s="193"/>
      <c r="J41" s="55" t="str">
        <f>'Moors League'!P37</f>
        <v>2.26.10</v>
      </c>
      <c r="K41" s="336">
        <f>'Moors League'!Q37</f>
        <v>3</v>
      </c>
      <c r="L41" s="56"/>
      <c r="N41" s="102" t="str">
        <f>_xlfn.IFNA((VLOOKUP(L41,'DQ Lookup'!$A$2:$B$59,2,FALSE)),"")</f>
        <v/>
      </c>
      <c r="O41" s="127"/>
      <c r="P41" s="107">
        <f>6.6-6.62</f>
        <v>-2.0000000000000462E-2</v>
      </c>
    </row>
    <row r="42" spans="1:16" ht="21.75" customHeight="1" x14ac:dyDescent="0.2">
      <c r="A42" s="51">
        <v>30</v>
      </c>
      <c r="B42" s="36" t="s">
        <v>104</v>
      </c>
      <c r="C42" s="63" t="s">
        <v>183</v>
      </c>
      <c r="D42" s="443" t="s">
        <v>441</v>
      </c>
      <c r="E42" s="92" t="s">
        <v>93</v>
      </c>
      <c r="F42" s="365"/>
      <c r="G42" s="443" t="s">
        <v>445</v>
      </c>
      <c r="H42" s="340" t="s">
        <v>94</v>
      </c>
      <c r="I42" s="193"/>
      <c r="J42" s="54"/>
      <c r="K42" s="333"/>
      <c r="L42" s="56"/>
      <c r="N42" s="102" t="str">
        <f>_xlfn.IFNA((VLOOKUP(L42,'DQ Lookup'!$A$2:$B$59,2,FALSE)),"")</f>
        <v/>
      </c>
      <c r="O42" s="127"/>
      <c r="P42" s="107"/>
    </row>
    <row r="43" spans="1:16" ht="21.75" customHeight="1" x14ac:dyDescent="0.2">
      <c r="A43" s="51"/>
      <c r="B43" s="36"/>
      <c r="C43" s="63"/>
      <c r="D43" s="443" t="s">
        <v>437</v>
      </c>
      <c r="E43" s="92" t="s">
        <v>95</v>
      </c>
      <c r="F43" s="365"/>
      <c r="G43" s="443" t="s">
        <v>461</v>
      </c>
      <c r="H43" s="115" t="s">
        <v>96</v>
      </c>
      <c r="I43" s="193"/>
      <c r="J43" s="341" t="str">
        <f>'Moors League'!P38</f>
        <v>2.13.48</v>
      </c>
      <c r="K43" s="332">
        <f>'Moors League'!Q38</f>
        <v>4</v>
      </c>
      <c r="L43" s="56"/>
      <c r="N43" s="102" t="str">
        <f>_xlfn.IFNA((VLOOKUP(L43,'DQ Lookup'!$A$2:$B$59,2,FALSE)),"")</f>
        <v/>
      </c>
      <c r="O43" s="127"/>
      <c r="P43" s="107">
        <f>8.72-8.75</f>
        <v>-2.9999999999999361E-2</v>
      </c>
    </row>
    <row r="44" spans="1:16" ht="21.75" customHeight="1" x14ac:dyDescent="0.25">
      <c r="A44" s="51">
        <v>31</v>
      </c>
      <c r="B44" s="36" t="s">
        <v>77</v>
      </c>
      <c r="C44" s="63" t="s">
        <v>81</v>
      </c>
      <c r="D44" s="443" t="s">
        <v>436</v>
      </c>
      <c r="E44" s="446"/>
      <c r="F44" s="95">
        <f>'Moors League'!P39</f>
        <v>32.270000000000003</v>
      </c>
      <c r="G44" s="360"/>
      <c r="H44" s="48"/>
      <c r="I44" s="130"/>
      <c r="J44" s="56"/>
      <c r="K44" s="332">
        <f>'Moors League'!Q39</f>
        <v>3</v>
      </c>
      <c r="L44" s="56"/>
      <c r="N44" s="102" t="str">
        <f>_xlfn.IFNA((VLOOKUP(L44,'DQ Lookup'!$A$2:$B$59,2,FALSE)),"")</f>
        <v/>
      </c>
      <c r="O44" s="38"/>
      <c r="P44" s="107">
        <f t="shared" si="0"/>
        <v>-32.270000000000003</v>
      </c>
    </row>
    <row r="45" spans="1:16" ht="21.75" customHeight="1" x14ac:dyDescent="0.25">
      <c r="A45" s="51">
        <v>32</v>
      </c>
      <c r="B45" s="36" t="s">
        <v>79</v>
      </c>
      <c r="C45" s="63" t="s">
        <v>81</v>
      </c>
      <c r="D45" s="443" t="s">
        <v>437</v>
      </c>
      <c r="E45" s="446"/>
      <c r="F45" s="95">
        <f>'Moors League'!P40</f>
        <v>33.090000000000003</v>
      </c>
      <c r="G45" s="360"/>
      <c r="H45" s="48"/>
      <c r="I45" s="130"/>
      <c r="J45" s="56"/>
      <c r="K45" s="332">
        <f>'Moors League'!Q40</f>
        <v>1</v>
      </c>
      <c r="L45" s="56"/>
      <c r="N45" s="102" t="str">
        <f>_xlfn.IFNA((VLOOKUP(L45,'DQ Lookup'!$A$2:$B$59,2,FALSE)),"")</f>
        <v/>
      </c>
      <c r="O45" s="38"/>
      <c r="P45" s="107">
        <f t="shared" si="0"/>
        <v>-33.090000000000003</v>
      </c>
    </row>
    <row r="46" spans="1:16" ht="21.75" customHeight="1" x14ac:dyDescent="0.25">
      <c r="A46" s="51">
        <v>33</v>
      </c>
      <c r="B46" s="36" t="s">
        <v>80</v>
      </c>
      <c r="C46" s="63" t="s">
        <v>105</v>
      </c>
      <c r="D46" s="443" t="s">
        <v>449</v>
      </c>
      <c r="E46" s="446"/>
      <c r="F46" s="95">
        <f>'Moors League'!P41</f>
        <v>38.15</v>
      </c>
      <c r="G46" s="360"/>
      <c r="H46" s="48"/>
      <c r="I46" s="130"/>
      <c r="J46" s="56"/>
      <c r="K46" s="332">
        <f>'Moors League'!Q41</f>
        <v>4</v>
      </c>
      <c r="L46" s="56"/>
      <c r="N46" s="102" t="str">
        <f>_xlfn.IFNA((VLOOKUP(L46,'DQ Lookup'!$A$2:$B$59,2,FALSE)),"")</f>
        <v/>
      </c>
      <c r="O46" s="38"/>
      <c r="P46" s="107">
        <f t="shared" si="0"/>
        <v>-38.15</v>
      </c>
    </row>
    <row r="47" spans="1:16" ht="21.75" customHeight="1" x14ac:dyDescent="0.25">
      <c r="A47" s="51">
        <v>34</v>
      </c>
      <c r="B47" s="36" t="s">
        <v>82</v>
      </c>
      <c r="C47" s="63" t="s">
        <v>105</v>
      </c>
      <c r="D47" s="443" t="s">
        <v>439</v>
      </c>
      <c r="E47" s="446"/>
      <c r="F47" s="95">
        <f>'Moors League'!P42</f>
        <v>37.49</v>
      </c>
      <c r="G47" s="360"/>
      <c r="H47" s="48"/>
      <c r="I47" s="130"/>
      <c r="J47" s="56"/>
      <c r="K47" s="332">
        <f>'Moors League'!Q42</f>
        <v>4</v>
      </c>
      <c r="L47" s="56"/>
      <c r="N47" s="102" t="str">
        <f>_xlfn.IFNA((VLOOKUP(L47,'DQ Lookup'!$A$2:$B$59,2,FALSE)),"")</f>
        <v/>
      </c>
      <c r="O47" s="38"/>
      <c r="P47" s="107">
        <f t="shared" si="0"/>
        <v>-37.49</v>
      </c>
    </row>
    <row r="48" spans="1:16" ht="21.75" customHeight="1" x14ac:dyDescent="0.25">
      <c r="A48" s="51">
        <v>35</v>
      </c>
      <c r="B48" s="36" t="s">
        <v>83</v>
      </c>
      <c r="C48" s="63" t="s">
        <v>106</v>
      </c>
      <c r="D48" s="443" t="s">
        <v>447</v>
      </c>
      <c r="E48" s="446"/>
      <c r="F48" s="95">
        <f>'Moors League'!P43</f>
        <v>30.17</v>
      </c>
      <c r="G48" s="360"/>
      <c r="H48" s="48"/>
      <c r="I48" s="130"/>
      <c r="J48" s="56"/>
      <c r="K48" s="332">
        <f>'Moors League'!Q43</f>
        <v>4</v>
      </c>
      <c r="L48" s="56"/>
      <c r="N48" s="102" t="str">
        <f>_xlfn.IFNA((VLOOKUP(L48,'DQ Lookup'!$A$2:$B$59,2,FALSE)),"")</f>
        <v/>
      </c>
      <c r="O48" s="38"/>
      <c r="P48" s="107">
        <f t="shared" si="0"/>
        <v>-30.17</v>
      </c>
    </row>
    <row r="49" spans="1:17" ht="21.75" customHeight="1" x14ac:dyDescent="0.25">
      <c r="A49" s="51">
        <v>36</v>
      </c>
      <c r="B49" s="36" t="s">
        <v>85</v>
      </c>
      <c r="C49" s="63" t="s">
        <v>106</v>
      </c>
      <c r="D49" s="443" t="s">
        <v>441</v>
      </c>
      <c r="E49" s="446"/>
      <c r="F49" s="95">
        <f>'Moors League'!P44</f>
        <v>27.2</v>
      </c>
      <c r="G49" s="360"/>
      <c r="H49" s="48"/>
      <c r="I49" s="130"/>
      <c r="J49" s="56"/>
      <c r="K49" s="332">
        <f>'Moors League'!Q44</f>
        <v>3</v>
      </c>
      <c r="L49" s="56"/>
      <c r="N49" s="102" t="str">
        <f>_xlfn.IFNA((VLOOKUP(L49,'DQ Lookup'!$A$2:$B$59,2,FALSE)),"")</f>
        <v/>
      </c>
      <c r="O49" s="38"/>
      <c r="P49" s="107">
        <f t="shared" si="0"/>
        <v>-27.2</v>
      </c>
    </row>
    <row r="50" spans="1:17" ht="21.75" customHeight="1" x14ac:dyDescent="0.25">
      <c r="A50" s="51">
        <v>37</v>
      </c>
      <c r="B50" s="36" t="s">
        <v>86</v>
      </c>
      <c r="C50" s="63" t="s">
        <v>107</v>
      </c>
      <c r="D50" s="443" t="s">
        <v>459</v>
      </c>
      <c r="E50" s="446"/>
      <c r="F50" s="95">
        <f>'Moors League'!P45</f>
        <v>24.78</v>
      </c>
      <c r="G50" s="360"/>
      <c r="H50" s="48"/>
      <c r="I50" s="130"/>
      <c r="J50" s="56"/>
      <c r="K50" s="332">
        <f>'Moors League'!Q45</f>
        <v>3</v>
      </c>
      <c r="L50" s="56"/>
      <c r="N50" s="102" t="str">
        <f>_xlfn.IFNA((VLOOKUP(L50,'DQ Lookup'!$A$2:$B$59,2,FALSE)),"")</f>
        <v/>
      </c>
      <c r="O50" s="38"/>
      <c r="P50" s="107">
        <f t="shared" si="0"/>
        <v>-24.78</v>
      </c>
    </row>
    <row r="51" spans="1:17" ht="21.75" customHeight="1" x14ac:dyDescent="0.25">
      <c r="A51" s="51">
        <v>38</v>
      </c>
      <c r="B51" s="36" t="s">
        <v>88</v>
      </c>
      <c r="C51" s="63" t="s">
        <v>107</v>
      </c>
      <c r="D51" s="443" t="s">
        <v>443</v>
      </c>
      <c r="E51" s="446"/>
      <c r="F51" s="95">
        <f>'Moors League'!P46</f>
        <v>26.28</v>
      </c>
      <c r="G51" s="360"/>
      <c r="H51" s="48"/>
      <c r="I51" s="130"/>
      <c r="J51" s="56"/>
      <c r="K51" s="332">
        <f>'Moors League'!Q46</f>
        <v>2</v>
      </c>
      <c r="L51" s="56"/>
      <c r="N51" s="102" t="str">
        <f>_xlfn.IFNA((VLOOKUP(L51,'DQ Lookup'!$A$2:$B$59,2,FALSE)),"")</f>
        <v/>
      </c>
      <c r="O51" s="38"/>
      <c r="P51" s="107">
        <f t="shared" si="0"/>
        <v>-26.28</v>
      </c>
    </row>
    <row r="52" spans="1:17" ht="21.75" customHeight="1" x14ac:dyDescent="0.25">
      <c r="A52" s="51">
        <v>39</v>
      </c>
      <c r="B52" s="36" t="s">
        <v>89</v>
      </c>
      <c r="C52" s="63" t="s">
        <v>81</v>
      </c>
      <c r="D52" s="443" t="s">
        <v>444</v>
      </c>
      <c r="E52" s="446"/>
      <c r="F52" s="95">
        <f>'Moors League'!P47</f>
        <v>34.159999999999997</v>
      </c>
      <c r="G52" s="360"/>
      <c r="H52" s="48"/>
      <c r="I52" s="130"/>
      <c r="J52" s="56"/>
      <c r="K52" s="332">
        <f>'Moors League'!Q47</f>
        <v>2</v>
      </c>
      <c r="L52" s="56"/>
      <c r="N52" s="102" t="str">
        <f>_xlfn.IFNA((VLOOKUP(L52,'DQ Lookup'!$A$2:$B$59,2,FALSE)),"")</f>
        <v/>
      </c>
      <c r="O52" s="38"/>
      <c r="P52" s="107">
        <f t="shared" si="0"/>
        <v>-34.159999999999997</v>
      </c>
    </row>
    <row r="53" spans="1:17" ht="21.75" customHeight="1" x14ac:dyDescent="0.25">
      <c r="A53" s="51">
        <v>40</v>
      </c>
      <c r="B53" s="36" t="s">
        <v>91</v>
      </c>
      <c r="C53" s="63" t="s">
        <v>81</v>
      </c>
      <c r="D53" s="443" t="s">
        <v>445</v>
      </c>
      <c r="E53" s="446"/>
      <c r="F53" s="379">
        <f>'Moors League'!P48</f>
        <v>35.909999999999997</v>
      </c>
      <c r="G53" s="360"/>
      <c r="H53" s="48"/>
      <c r="I53" s="130"/>
      <c r="J53" s="56"/>
      <c r="K53" s="332">
        <f>'Moors League'!Q48</f>
        <v>4</v>
      </c>
      <c r="L53" s="56"/>
      <c r="N53" s="102" t="str">
        <f>_xlfn.IFNA((VLOOKUP(L53,'DQ Lookup'!$A$2:$B$59,2,FALSE)),"")</f>
        <v/>
      </c>
      <c r="O53" s="38"/>
      <c r="P53" s="107">
        <f t="shared" si="0"/>
        <v>-35.909999999999997</v>
      </c>
    </row>
    <row r="54" spans="1:17" ht="21.75" customHeight="1" x14ac:dyDescent="0.25">
      <c r="A54" s="51">
        <v>41</v>
      </c>
      <c r="B54" s="36" t="s">
        <v>77</v>
      </c>
      <c r="C54" s="63" t="s">
        <v>186</v>
      </c>
      <c r="D54" s="443" t="s">
        <v>446</v>
      </c>
      <c r="E54" s="446"/>
      <c r="F54" s="365"/>
      <c r="G54" s="443" t="s">
        <v>440</v>
      </c>
      <c r="H54" s="98"/>
      <c r="I54" s="193"/>
      <c r="J54" s="62"/>
      <c r="K54" s="50"/>
      <c r="L54" s="56"/>
      <c r="N54" s="102" t="str">
        <f>_xlfn.IFNA((VLOOKUP(L54,'DQ Lookup'!$A$2:$B$59,2,FALSE)),"")</f>
        <v/>
      </c>
      <c r="O54" s="38"/>
      <c r="P54" s="107"/>
    </row>
    <row r="55" spans="1:17" ht="21.75" customHeight="1" x14ac:dyDescent="0.25">
      <c r="A55" s="51"/>
      <c r="B55" s="36"/>
      <c r="C55" s="63"/>
      <c r="D55" s="443" t="s">
        <v>447</v>
      </c>
      <c r="E55" s="446"/>
      <c r="F55" s="365"/>
      <c r="G55" s="443" t="s">
        <v>436</v>
      </c>
      <c r="H55" s="98"/>
      <c r="I55" s="193"/>
      <c r="J55" s="55" t="str">
        <f>'Moors League'!P49</f>
        <v>2.05.84</v>
      </c>
      <c r="K55" s="332">
        <f>'Moors League'!Q49</f>
        <v>3</v>
      </c>
      <c r="L55" s="56"/>
      <c r="N55" s="102" t="str">
        <f>_xlfn.IFNA((VLOOKUP(L55,'DQ Lookup'!$A$2:$B$59,2,FALSE)),"")</f>
        <v/>
      </c>
      <c r="O55" s="38"/>
      <c r="P55" s="107">
        <f>1.22-1.41</f>
        <v>-0.18999999999999995</v>
      </c>
    </row>
    <row r="56" spans="1:17" ht="21.75" customHeight="1" x14ac:dyDescent="0.25">
      <c r="A56" s="51">
        <v>42</v>
      </c>
      <c r="B56" s="36" t="s">
        <v>79</v>
      </c>
      <c r="C56" s="63" t="s">
        <v>186</v>
      </c>
      <c r="D56" s="443" t="s">
        <v>448</v>
      </c>
      <c r="E56" s="446"/>
      <c r="F56" s="365"/>
      <c r="G56" s="443" t="s">
        <v>454</v>
      </c>
      <c r="H56" s="98"/>
      <c r="I56" s="193"/>
      <c r="J56" s="342"/>
      <c r="K56" s="50"/>
      <c r="L56" s="56"/>
      <c r="N56" s="102" t="str">
        <f>_xlfn.IFNA((VLOOKUP(L56,'DQ Lookup'!$A$2:$B$59,2,FALSE)),"")</f>
        <v/>
      </c>
      <c r="O56" s="38"/>
      <c r="P56" s="107"/>
    </row>
    <row r="57" spans="1:17" ht="21.75" customHeight="1" x14ac:dyDescent="0.25">
      <c r="A57" s="51"/>
      <c r="B57" s="36"/>
      <c r="C57" s="63"/>
      <c r="D57" s="444" t="s">
        <v>437</v>
      </c>
      <c r="E57" s="446"/>
      <c r="F57" s="365"/>
      <c r="G57" s="443" t="s">
        <v>461</v>
      </c>
      <c r="H57" s="98"/>
      <c r="I57" s="193"/>
      <c r="J57" s="55" t="str">
        <f>'Moors League'!P50</f>
        <v>2.14.90</v>
      </c>
      <c r="K57" s="332">
        <f>'Moors League'!Q50</f>
        <v>1</v>
      </c>
      <c r="L57" s="56"/>
      <c r="N57" s="102" t="str">
        <f>_xlfn.IFNA((VLOOKUP(L57,'DQ Lookup'!$A$2:$B$59,2,FALSE)),"")</f>
        <v/>
      </c>
      <c r="O57" s="38"/>
      <c r="P57" s="107">
        <v>0</v>
      </c>
    </row>
    <row r="58" spans="1:17" ht="21.75" customHeight="1" x14ac:dyDescent="0.25">
      <c r="A58" s="51">
        <v>43</v>
      </c>
      <c r="B58" s="36" t="s">
        <v>80</v>
      </c>
      <c r="C58" s="63" t="s">
        <v>183</v>
      </c>
      <c r="D58" s="443" t="s">
        <v>449</v>
      </c>
      <c r="E58" s="188" t="s">
        <v>93</v>
      </c>
      <c r="F58" s="364"/>
      <c r="G58" s="443" t="s">
        <v>460</v>
      </c>
      <c r="H58" s="177" t="s">
        <v>94</v>
      </c>
      <c r="I58" s="193"/>
      <c r="J58" s="62"/>
      <c r="K58" s="50"/>
      <c r="L58" s="56"/>
      <c r="N58" s="102" t="str">
        <f>_xlfn.IFNA((VLOOKUP(L58,'DQ Lookup'!$A$2:$B$59,2,FALSE)),"")</f>
        <v/>
      </c>
      <c r="O58" s="38"/>
      <c r="P58" s="107"/>
    </row>
    <row r="59" spans="1:17" ht="36.75" x14ac:dyDescent="0.25">
      <c r="A59" s="51"/>
      <c r="B59" s="36"/>
      <c r="C59" s="63"/>
      <c r="D59" s="443" t="s">
        <v>438</v>
      </c>
      <c r="E59" s="188" t="s">
        <v>95</v>
      </c>
      <c r="F59" s="365"/>
      <c r="G59" s="443" t="s">
        <v>464</v>
      </c>
      <c r="H59" s="125" t="s">
        <v>96</v>
      </c>
      <c r="I59" s="193"/>
      <c r="J59" s="55" t="str">
        <f>'Moors League'!P51</f>
        <v>DSQ</v>
      </c>
      <c r="K59" s="332">
        <f>'Moors League'!Q51</f>
        <v>0</v>
      </c>
      <c r="L59" s="56" t="s">
        <v>266</v>
      </c>
      <c r="N59" s="102" t="str">
        <f>_xlfn.IFNA((VLOOKUP(L59,'DQ Lookup'!$A$2:$B$59,2,FALSE)),"")</f>
        <v>More than one butterfly kick prior to the first breaststroke kick after the start or turn</v>
      </c>
      <c r="O59" s="38"/>
      <c r="P59" s="107">
        <f>1.72-1.77</f>
        <v>-5.0000000000000044E-2</v>
      </c>
      <c r="Q59" s="1" t="s">
        <v>571</v>
      </c>
    </row>
    <row r="60" spans="1:17" ht="21" customHeight="1" x14ac:dyDescent="0.2">
      <c r="A60" s="51">
        <v>44</v>
      </c>
      <c r="B60" s="36" t="s">
        <v>82</v>
      </c>
      <c r="C60" s="63" t="s">
        <v>183</v>
      </c>
      <c r="D60" s="443" t="s">
        <v>450</v>
      </c>
      <c r="E60" s="188" t="s">
        <v>93</v>
      </c>
      <c r="F60" s="365"/>
      <c r="G60" s="443" t="s">
        <v>465</v>
      </c>
      <c r="H60" s="125" t="s">
        <v>94</v>
      </c>
      <c r="I60" s="193"/>
      <c r="J60" s="56"/>
      <c r="K60" s="50"/>
      <c r="L60" s="50"/>
      <c r="N60" s="343"/>
      <c r="O60" s="49"/>
      <c r="P60" s="107"/>
    </row>
    <row r="61" spans="1:17" ht="21.75" customHeight="1" x14ac:dyDescent="0.25">
      <c r="A61" s="51"/>
      <c r="B61" s="36"/>
      <c r="C61" s="63"/>
      <c r="D61" s="443" t="s">
        <v>439</v>
      </c>
      <c r="E61" s="188" t="s">
        <v>95</v>
      </c>
      <c r="F61" s="365"/>
      <c r="G61" s="443" t="s">
        <v>466</v>
      </c>
      <c r="H61" s="125" t="s">
        <v>96</v>
      </c>
      <c r="I61" s="193"/>
      <c r="J61" s="55" t="str">
        <f>'Moors League'!P52</f>
        <v>2.45.41</v>
      </c>
      <c r="K61" s="332">
        <f>'Moors League'!Q52</f>
        <v>4</v>
      </c>
      <c r="L61" s="56"/>
      <c r="N61" s="102" t="str">
        <f>_xlfn.IFNA((VLOOKUP(L61,'DQ Lookup'!$A$2:$B$59,2,FALSE)),"")</f>
        <v/>
      </c>
      <c r="O61" s="38"/>
      <c r="P61" s="107">
        <f>4.19-4.43</f>
        <v>-0.23999999999999932</v>
      </c>
    </row>
    <row r="62" spans="1:17" ht="21.75" customHeight="1" x14ac:dyDescent="0.25">
      <c r="A62" s="51">
        <v>45</v>
      </c>
      <c r="B62" s="36" t="s">
        <v>89</v>
      </c>
      <c r="C62" s="63" t="s">
        <v>108</v>
      </c>
      <c r="D62" s="443" t="s">
        <v>444</v>
      </c>
      <c r="E62" s="446"/>
      <c r="F62" s="95">
        <f>'Moors League'!P53</f>
        <v>31.35</v>
      </c>
      <c r="G62" s="360"/>
      <c r="H62" s="48"/>
      <c r="I62" s="130"/>
      <c r="J62" s="56"/>
      <c r="K62" s="332">
        <f>'Moors League'!Q53</f>
        <v>3</v>
      </c>
      <c r="L62" s="56"/>
      <c r="N62" s="102" t="str">
        <f>_xlfn.IFNA((VLOOKUP(L62,'DQ Lookup'!$A$2:$B$59,2,FALSE)),"")</f>
        <v/>
      </c>
      <c r="O62" s="38"/>
      <c r="P62" s="107">
        <f t="shared" si="0"/>
        <v>-31.35</v>
      </c>
    </row>
    <row r="63" spans="1:17" ht="21.75" customHeight="1" x14ac:dyDescent="0.25">
      <c r="A63" s="51">
        <v>46</v>
      </c>
      <c r="B63" s="36" t="s">
        <v>91</v>
      </c>
      <c r="C63" s="63" t="s">
        <v>108</v>
      </c>
      <c r="D63" s="443" t="s">
        <v>445</v>
      </c>
      <c r="E63" s="446"/>
      <c r="F63" s="95">
        <f>'Moors League'!P54</f>
        <v>32.76</v>
      </c>
      <c r="G63" s="360"/>
      <c r="H63" s="48"/>
      <c r="I63" s="130"/>
      <c r="J63" s="56"/>
      <c r="K63" s="332">
        <f>'Moors League'!Q54</f>
        <v>3</v>
      </c>
      <c r="L63" s="56"/>
      <c r="N63" s="102" t="str">
        <f>_xlfn.IFNA((VLOOKUP(L63,'DQ Lookup'!$A$2:$B$59,2,FALSE)),"")</f>
        <v/>
      </c>
      <c r="O63" s="38"/>
      <c r="P63" s="107">
        <f t="shared" si="0"/>
        <v>-32.76</v>
      </c>
    </row>
    <row r="64" spans="1:17" ht="21.75" customHeight="1" x14ac:dyDescent="0.25">
      <c r="A64" s="51">
        <v>47</v>
      </c>
      <c r="B64" s="36" t="s">
        <v>86</v>
      </c>
      <c r="C64" s="63" t="s">
        <v>109</v>
      </c>
      <c r="D64" s="443" t="s">
        <v>452</v>
      </c>
      <c r="E64" s="446"/>
      <c r="F64" s="95">
        <f>'Moors League'!P55</f>
        <v>25.84</v>
      </c>
      <c r="G64" s="360"/>
      <c r="H64" s="48"/>
      <c r="I64" s="130"/>
      <c r="J64" s="56"/>
      <c r="K64" s="332">
        <f>'Moors League'!Q55</f>
        <v>1</v>
      </c>
      <c r="L64" s="56"/>
      <c r="N64" s="102" t="str">
        <f>_xlfn.IFNA((VLOOKUP(L64,'DQ Lookup'!$A$2:$B$59,2,FALSE)),"")</f>
        <v/>
      </c>
      <c r="O64" s="38"/>
      <c r="P64" s="107">
        <f t="shared" si="0"/>
        <v>-25.84</v>
      </c>
    </row>
    <row r="65" spans="1:16" ht="21.75" customHeight="1" x14ac:dyDescent="0.25">
      <c r="A65" s="51">
        <v>48</v>
      </c>
      <c r="B65" s="36" t="s">
        <v>88</v>
      </c>
      <c r="C65" s="63" t="s">
        <v>109</v>
      </c>
      <c r="D65" s="443" t="s">
        <v>453</v>
      </c>
      <c r="E65" s="446"/>
      <c r="F65" s="95">
        <f>'Moors League'!P56</f>
        <v>28.85</v>
      </c>
      <c r="G65" s="360"/>
      <c r="H65" s="48"/>
      <c r="I65" s="130"/>
      <c r="J65" s="56"/>
      <c r="K65" s="332">
        <f>'Moors League'!Q56</f>
        <v>2</v>
      </c>
      <c r="L65" s="56"/>
      <c r="N65" s="102" t="str">
        <f>_xlfn.IFNA((VLOOKUP(L65,'DQ Lookup'!$A$2:$B$59,2,FALSE)),"")</f>
        <v/>
      </c>
      <c r="O65" s="38"/>
      <c r="P65" s="107">
        <f t="shared" si="0"/>
        <v>-28.85</v>
      </c>
    </row>
    <row r="66" spans="1:16" ht="21.75" customHeight="1" x14ac:dyDescent="0.25">
      <c r="A66" s="51">
        <v>49</v>
      </c>
      <c r="B66" s="36" t="s">
        <v>83</v>
      </c>
      <c r="C66" s="63" t="s">
        <v>110</v>
      </c>
      <c r="D66" s="443" t="s">
        <v>447</v>
      </c>
      <c r="E66" s="446"/>
      <c r="F66" s="95">
        <f>'Moors League'!P57</f>
        <v>33.380000000000003</v>
      </c>
      <c r="G66" s="360"/>
      <c r="H66" s="48"/>
      <c r="I66" s="130"/>
      <c r="J66" s="56"/>
      <c r="K66" s="332">
        <f>'Moors League'!Q57</f>
        <v>4</v>
      </c>
      <c r="L66" s="56"/>
      <c r="N66" s="102" t="str">
        <f>_xlfn.IFNA((VLOOKUP(L66,'DQ Lookup'!$A$2:$B$59,2,FALSE)),"")</f>
        <v/>
      </c>
      <c r="O66" s="38"/>
      <c r="P66" s="107">
        <f t="shared" si="0"/>
        <v>-33.380000000000003</v>
      </c>
    </row>
    <row r="67" spans="1:16" ht="21.75" customHeight="1" x14ac:dyDescent="0.25">
      <c r="A67" s="51">
        <v>50</v>
      </c>
      <c r="B67" s="36" t="s">
        <v>85</v>
      </c>
      <c r="C67" s="63" t="s">
        <v>110</v>
      </c>
      <c r="D67" s="443" t="s">
        <v>441</v>
      </c>
      <c r="E67" s="446"/>
      <c r="F67" s="95">
        <f>'Moors League'!P58</f>
        <v>31.79</v>
      </c>
      <c r="G67" s="360"/>
      <c r="H67" s="48"/>
      <c r="I67" s="130"/>
      <c r="J67" s="56"/>
      <c r="K67" s="332">
        <f>'Moors League'!Q58</f>
        <v>4</v>
      </c>
      <c r="L67" s="56"/>
      <c r="N67" s="102" t="str">
        <f>_xlfn.IFNA((VLOOKUP(L67,'DQ Lookup'!$A$2:$B$59,2,FALSE)),"")</f>
        <v/>
      </c>
      <c r="O67" s="38"/>
      <c r="P67" s="107">
        <f t="shared" si="0"/>
        <v>-31.79</v>
      </c>
    </row>
    <row r="68" spans="1:16" ht="21.75" customHeight="1" x14ac:dyDescent="0.25">
      <c r="A68" s="51">
        <v>51</v>
      </c>
      <c r="B68" s="36" t="s">
        <v>80</v>
      </c>
      <c r="C68" s="63" t="s">
        <v>97</v>
      </c>
      <c r="D68" s="443" t="s">
        <v>460</v>
      </c>
      <c r="E68" s="446"/>
      <c r="F68" s="95">
        <f>'Moors League'!P59</f>
        <v>47.76</v>
      </c>
      <c r="G68" s="360"/>
      <c r="H68" s="48"/>
      <c r="I68" s="130"/>
      <c r="J68" s="56"/>
      <c r="K68" s="332">
        <f>'Moors League'!Q59</f>
        <v>2</v>
      </c>
      <c r="L68" s="56"/>
      <c r="N68" s="102" t="str">
        <f>_xlfn.IFNA((VLOOKUP(L68,'DQ Lookup'!$A$2:$B$59,2,FALSE)),"")</f>
        <v/>
      </c>
      <c r="O68" s="38"/>
      <c r="P68" s="107">
        <f t="shared" si="0"/>
        <v>-47.76</v>
      </c>
    </row>
    <row r="69" spans="1:16" ht="21.75" customHeight="1" x14ac:dyDescent="0.25">
      <c r="A69" s="51">
        <v>52</v>
      </c>
      <c r="B69" s="36" t="s">
        <v>82</v>
      </c>
      <c r="C69" s="63" t="s">
        <v>97</v>
      </c>
      <c r="D69" s="443" t="s">
        <v>439</v>
      </c>
      <c r="E69" s="446"/>
      <c r="F69" s="95">
        <f>'Moors League'!P60</f>
        <v>42.14</v>
      </c>
      <c r="G69" s="360"/>
      <c r="H69" s="344"/>
      <c r="I69" s="345"/>
      <c r="J69" s="346"/>
      <c r="K69" s="332">
        <f>'Moors League'!Q60</f>
        <v>4</v>
      </c>
      <c r="L69" s="56"/>
      <c r="N69" s="102" t="str">
        <f>_xlfn.IFNA((VLOOKUP(L69,'DQ Lookup'!$A$2:$B$59,2,FALSE)),"")</f>
        <v/>
      </c>
      <c r="O69" s="38"/>
      <c r="P69" s="107">
        <f>O69-F69</f>
        <v>-42.14</v>
      </c>
    </row>
    <row r="70" spans="1:16" ht="21.75" customHeight="1" x14ac:dyDescent="0.25">
      <c r="A70" s="51">
        <v>53</v>
      </c>
      <c r="B70" s="36" t="s">
        <v>77</v>
      </c>
      <c r="C70" s="63" t="s">
        <v>101</v>
      </c>
      <c r="D70" s="443" t="s">
        <v>436</v>
      </c>
      <c r="E70" s="446"/>
      <c r="F70" s="95">
        <f>'Moors League'!P61</f>
        <v>30.31</v>
      </c>
      <c r="G70" s="360"/>
      <c r="H70" s="48"/>
      <c r="I70" s="130"/>
      <c r="J70" s="56"/>
      <c r="K70" s="332">
        <f>'Moors League'!Q61</f>
        <v>2</v>
      </c>
      <c r="L70" s="56"/>
      <c r="N70" s="102" t="str">
        <f>_xlfn.IFNA((VLOOKUP(L70,'DQ Lookup'!$A$2:$B$59,2,FALSE)),"")</f>
        <v/>
      </c>
      <c r="O70" s="38"/>
      <c r="P70" s="107">
        <f>O70-F70</f>
        <v>-30.31</v>
      </c>
    </row>
    <row r="71" spans="1:16" ht="21.75" customHeight="1" x14ac:dyDescent="0.25">
      <c r="A71" s="51">
        <v>54</v>
      </c>
      <c r="B71" s="36" t="s">
        <v>79</v>
      </c>
      <c r="C71" s="63" t="s">
        <v>101</v>
      </c>
      <c r="D71" s="443" t="s">
        <v>461</v>
      </c>
      <c r="E71" s="447"/>
      <c r="F71" s="379">
        <f>'Moors League'!P62</f>
        <v>29.69</v>
      </c>
      <c r="G71" s="360"/>
      <c r="H71" s="48"/>
      <c r="I71" s="130"/>
      <c r="J71" s="56"/>
      <c r="K71" s="332">
        <f>'Moors League'!Q62</f>
        <v>1</v>
      </c>
      <c r="L71" s="56"/>
      <c r="N71" s="102" t="str">
        <f>_xlfn.IFNA((VLOOKUP(L71,'DQ Lookup'!$A$2:$B$59,2,FALSE)),"")</f>
        <v/>
      </c>
      <c r="O71" s="38"/>
      <c r="P71" s="107">
        <f>O71-F71</f>
        <v>-29.69</v>
      </c>
    </row>
    <row r="72" spans="1:16" ht="21.75" customHeight="1" x14ac:dyDescent="0.25">
      <c r="A72" s="51">
        <v>55</v>
      </c>
      <c r="B72" s="36" t="s">
        <v>89</v>
      </c>
      <c r="C72" s="63" t="s">
        <v>186</v>
      </c>
      <c r="D72" s="443" t="s">
        <v>444</v>
      </c>
      <c r="E72" s="446"/>
      <c r="F72" s="193"/>
      <c r="G72" s="443" t="s">
        <v>451</v>
      </c>
      <c r="H72" s="97"/>
      <c r="I72" s="193"/>
      <c r="J72" s="56"/>
      <c r="K72" s="50"/>
      <c r="L72" s="56"/>
      <c r="N72" s="102" t="str">
        <f>_xlfn.IFNA((VLOOKUP(L72,'DQ Lookup'!$A$2:$B$59,2,FALSE)),"")</f>
        <v/>
      </c>
      <c r="O72" s="38"/>
      <c r="P72" s="107"/>
    </row>
    <row r="73" spans="1:16" ht="21.75" customHeight="1" x14ac:dyDescent="0.25">
      <c r="A73" s="51"/>
      <c r="B73" s="36"/>
      <c r="C73" s="63"/>
      <c r="D73" s="443" t="s">
        <v>455</v>
      </c>
      <c r="E73" s="446"/>
      <c r="F73" s="193"/>
      <c r="G73" s="443" t="s">
        <v>467</v>
      </c>
      <c r="H73" s="98"/>
      <c r="I73" s="193"/>
      <c r="J73" s="55" t="str">
        <f>'Moors League'!P63</f>
        <v>2.13.74</v>
      </c>
      <c r="K73" s="332">
        <f>'Moors League'!Q63</f>
        <v>3</v>
      </c>
      <c r="L73" s="56"/>
      <c r="N73" s="102" t="str">
        <f>_xlfn.IFNA((VLOOKUP(L73,'DQ Lookup'!$A$2:$B$59,2,FALSE)),"")</f>
        <v/>
      </c>
      <c r="O73" s="38"/>
      <c r="P73" s="107">
        <f>5.03-5.23</f>
        <v>-0.20000000000000018</v>
      </c>
    </row>
    <row r="74" spans="1:16" ht="21.75" customHeight="1" x14ac:dyDescent="0.25">
      <c r="A74" s="51">
        <v>56</v>
      </c>
      <c r="B74" s="36" t="s">
        <v>91</v>
      </c>
      <c r="C74" s="63" t="s">
        <v>186</v>
      </c>
      <c r="D74" s="443" t="s">
        <v>456</v>
      </c>
      <c r="E74" s="446"/>
      <c r="F74" s="193"/>
      <c r="G74" s="443" t="s">
        <v>450</v>
      </c>
      <c r="H74" s="97"/>
      <c r="I74" s="193"/>
      <c r="J74" s="490"/>
      <c r="K74" s="490"/>
      <c r="L74" s="56"/>
      <c r="N74" s="102" t="str">
        <f>_xlfn.IFNA((VLOOKUP(L74,'DQ Lookup'!$A$2:$B$59,2,FALSE)),"")</f>
        <v/>
      </c>
      <c r="O74" s="38"/>
      <c r="P74" s="107"/>
    </row>
    <row r="75" spans="1:16" ht="21.75" customHeight="1" x14ac:dyDescent="0.25">
      <c r="A75" s="51"/>
      <c r="B75" s="36"/>
      <c r="C75" s="63"/>
      <c r="D75" s="443" t="s">
        <v>445</v>
      </c>
      <c r="E75" s="446"/>
      <c r="F75" s="193"/>
      <c r="G75" s="443" t="s">
        <v>468</v>
      </c>
      <c r="H75" s="97"/>
      <c r="I75" s="193"/>
      <c r="J75" s="55" t="str">
        <f>'Moors League'!P64</f>
        <v>2.42.00</v>
      </c>
      <c r="K75" s="332">
        <f>'Moors League'!Q64</f>
        <v>1</v>
      </c>
      <c r="L75" s="56"/>
      <c r="N75" s="102" t="str">
        <f>_xlfn.IFNA((VLOOKUP(L75,'DQ Lookup'!$A$2:$B$59,2,FALSE)),"")</f>
        <v/>
      </c>
      <c r="O75" s="38"/>
      <c r="P75" s="107">
        <f>4.19-6.33</f>
        <v>-2.1399999999999997</v>
      </c>
    </row>
    <row r="76" spans="1:16" ht="21.75" customHeight="1" x14ac:dyDescent="0.25">
      <c r="A76" s="51">
        <v>57</v>
      </c>
      <c r="B76" s="36" t="s">
        <v>102</v>
      </c>
      <c r="C76" s="63" t="s">
        <v>92</v>
      </c>
      <c r="D76" s="443" t="s">
        <v>452</v>
      </c>
      <c r="E76" s="188" t="s">
        <v>93</v>
      </c>
      <c r="F76" s="193"/>
      <c r="G76" s="443" t="s">
        <v>459</v>
      </c>
      <c r="H76" s="98" t="s">
        <v>94</v>
      </c>
      <c r="I76" s="193"/>
      <c r="J76" s="496"/>
      <c r="K76" s="496"/>
      <c r="L76" s="56"/>
      <c r="N76" s="102" t="str">
        <f>_xlfn.IFNA((VLOOKUP(L76,'DQ Lookup'!$A$2:$B$59,2,FALSE)),"")</f>
        <v/>
      </c>
      <c r="O76" s="38"/>
      <c r="P76" s="107"/>
    </row>
    <row r="77" spans="1:16" ht="21.75" customHeight="1" x14ac:dyDescent="0.25">
      <c r="A77" s="51"/>
      <c r="B77" s="63"/>
      <c r="C77" s="152"/>
      <c r="D77" s="443" t="s">
        <v>442</v>
      </c>
      <c r="E77" s="188" t="s">
        <v>95</v>
      </c>
      <c r="F77" s="193"/>
      <c r="G77" s="443" t="s">
        <v>469</v>
      </c>
      <c r="H77" s="98" t="s">
        <v>96</v>
      </c>
      <c r="I77" s="193"/>
      <c r="J77" s="55" t="str">
        <f>'Moors League'!P65</f>
        <v>1.37.19</v>
      </c>
      <c r="K77" s="332">
        <f>'Moors League'!Q65</f>
        <v>3</v>
      </c>
      <c r="L77" s="83"/>
      <c r="M77" s="74"/>
      <c r="N77" s="102" t="str">
        <f>_xlfn.IFNA((VLOOKUP(L77,'DQ Lookup'!$A$2:$B$59,2,FALSE)),"")</f>
        <v/>
      </c>
      <c r="O77" s="38"/>
      <c r="P77" s="107">
        <f>1.97-2.13</f>
        <v>-0.15999999999999992</v>
      </c>
    </row>
    <row r="78" spans="1:16" ht="25.5" customHeight="1" x14ac:dyDescent="0.25">
      <c r="A78" s="51">
        <v>58</v>
      </c>
      <c r="B78" s="36" t="s">
        <v>103</v>
      </c>
      <c r="C78" s="63" t="s">
        <v>92</v>
      </c>
      <c r="D78" s="443" t="s">
        <v>457</v>
      </c>
      <c r="E78" s="188" t="s">
        <v>93</v>
      </c>
      <c r="F78" s="193"/>
      <c r="G78" s="443" t="s">
        <v>443</v>
      </c>
      <c r="H78" s="98" t="s">
        <v>94</v>
      </c>
      <c r="I78" s="193"/>
      <c r="J78" s="490"/>
      <c r="K78" s="490"/>
      <c r="L78" s="307"/>
      <c r="N78" s="101"/>
      <c r="O78" s="38"/>
      <c r="P78" s="107"/>
    </row>
    <row r="79" spans="1:16" ht="21.75" customHeight="1" x14ac:dyDescent="0.25">
      <c r="A79" s="51"/>
      <c r="B79" s="36"/>
      <c r="C79" s="63"/>
      <c r="D79" s="443" t="s">
        <v>453</v>
      </c>
      <c r="E79" s="188" t="s">
        <v>95</v>
      </c>
      <c r="F79" s="193"/>
      <c r="G79" s="443" t="s">
        <v>470</v>
      </c>
      <c r="H79" s="98" t="s">
        <v>96</v>
      </c>
      <c r="I79" s="193"/>
      <c r="J79" s="55" t="str">
        <f>'Moors League'!P66</f>
        <v>1.49.07</v>
      </c>
      <c r="K79" s="332">
        <f>'Moors League'!Q66</f>
        <v>2</v>
      </c>
      <c r="L79" s="56"/>
      <c r="N79" s="102" t="str">
        <f>_xlfn.IFNA((VLOOKUP(L79,'DQ Lookup'!$A$2:$B$59,2,FALSE)),"")</f>
        <v/>
      </c>
      <c r="O79" s="38"/>
      <c r="P79" s="107">
        <f>1.63-1.7</f>
        <v>-7.0000000000000062E-2</v>
      </c>
    </row>
    <row r="80" spans="1:16" ht="21.75" customHeight="1" x14ac:dyDescent="0.25">
      <c r="A80" s="51">
        <v>59</v>
      </c>
      <c r="B80" s="36" t="s">
        <v>111</v>
      </c>
      <c r="C80" s="63" t="s">
        <v>186</v>
      </c>
      <c r="D80" s="443" t="s">
        <v>447</v>
      </c>
      <c r="E80" s="446"/>
      <c r="F80" s="193"/>
      <c r="G80" s="443" t="s">
        <v>462</v>
      </c>
      <c r="H80" s="98"/>
      <c r="I80" s="193"/>
      <c r="J80" s="62"/>
      <c r="K80" s="50"/>
      <c r="L80" s="56"/>
      <c r="N80" s="102" t="str">
        <f>_xlfn.IFNA((VLOOKUP(L80,'DQ Lookup'!$A$2:$B$59,2,FALSE)),"")</f>
        <v/>
      </c>
      <c r="O80" s="38"/>
      <c r="P80" s="107"/>
    </row>
    <row r="81" spans="1:16" ht="21.75" customHeight="1" x14ac:dyDescent="0.25">
      <c r="A81" s="51"/>
      <c r="B81" s="36"/>
      <c r="C81" s="63"/>
      <c r="D81" s="443" t="s">
        <v>458</v>
      </c>
      <c r="E81" s="446"/>
      <c r="F81" s="193"/>
      <c r="G81" s="443" t="s">
        <v>440</v>
      </c>
      <c r="H81" s="98"/>
      <c r="I81" s="193"/>
      <c r="J81" s="55" t="str">
        <f>'Moors League'!P67</f>
        <v>2.12.68</v>
      </c>
      <c r="K81" s="332">
        <f>'Moors League'!Q67</f>
        <v>3</v>
      </c>
      <c r="L81" s="56"/>
      <c r="N81" s="102" t="str">
        <f>_xlfn.IFNA((VLOOKUP(L81,'DQ Lookup'!$A$2:$B$59,2,FALSE)),"")</f>
        <v/>
      </c>
      <c r="O81" s="38"/>
      <c r="P81" s="107">
        <f>5.78-5.77</f>
        <v>1.0000000000000675E-2</v>
      </c>
    </row>
    <row r="82" spans="1:16" ht="21.75" customHeight="1" x14ac:dyDescent="0.25">
      <c r="A82" s="51">
        <v>60</v>
      </c>
      <c r="B82" s="36" t="s">
        <v>104</v>
      </c>
      <c r="C82" s="63" t="s">
        <v>186</v>
      </c>
      <c r="D82" s="443" t="s">
        <v>441</v>
      </c>
      <c r="E82" s="446"/>
      <c r="F82" s="193"/>
      <c r="G82" s="443" t="s">
        <v>445</v>
      </c>
      <c r="H82" s="97"/>
      <c r="I82" s="193"/>
      <c r="J82" s="83"/>
      <c r="K82" s="50"/>
      <c r="L82" s="56"/>
      <c r="N82" s="102" t="str">
        <f>_xlfn.IFNA((VLOOKUP(L82,'DQ Lookup'!$A$2:$B$59,2,FALSE)),"")</f>
        <v/>
      </c>
      <c r="O82" s="38"/>
      <c r="P82" s="107"/>
    </row>
    <row r="83" spans="1:16" ht="21.75" customHeight="1" x14ac:dyDescent="0.25">
      <c r="A83" s="51"/>
      <c r="B83" s="36"/>
      <c r="C83" s="63"/>
      <c r="D83" s="443" t="s">
        <v>437</v>
      </c>
      <c r="E83" s="446"/>
      <c r="F83" s="193"/>
      <c r="G83" s="443" t="s">
        <v>461</v>
      </c>
      <c r="H83" s="97"/>
      <c r="I83" s="193"/>
      <c r="J83" s="55" t="str">
        <f>'Moors League'!P68</f>
        <v>2.00.51</v>
      </c>
      <c r="K83" s="332">
        <f>'Moors League'!Q68</f>
        <v>4</v>
      </c>
      <c r="L83" s="56"/>
      <c r="N83" s="102" t="str">
        <f>_xlfn.IFNA((VLOOKUP(L83,'DQ Lookup'!$A$2:$B$59,2,FALSE)),"")</f>
        <v/>
      </c>
      <c r="O83" s="38"/>
      <c r="P83" s="107">
        <f>3.34-3.41</f>
        <v>-7.0000000000000284E-2</v>
      </c>
    </row>
    <row r="84" spans="1:16" ht="21.75" customHeight="1" x14ac:dyDescent="0.25">
      <c r="A84" s="51">
        <v>61</v>
      </c>
      <c r="B84" s="36" t="s">
        <v>113</v>
      </c>
      <c r="C84" s="63" t="s">
        <v>185</v>
      </c>
      <c r="D84" s="443" t="s">
        <v>442</v>
      </c>
      <c r="E84" s="445"/>
      <c r="F84" s="193"/>
      <c r="G84" s="443" t="s">
        <v>443</v>
      </c>
      <c r="H84" s="98"/>
      <c r="I84" s="193"/>
      <c r="J84" s="56"/>
      <c r="K84" s="50"/>
      <c r="L84" s="56"/>
      <c r="N84" s="102" t="str">
        <f>_xlfn.IFNA((VLOOKUP(L84,'DQ Lookup'!$A$2:$B$59,2,FALSE)),"")</f>
        <v/>
      </c>
      <c r="O84" s="38"/>
      <c r="P84" s="107"/>
    </row>
    <row r="85" spans="1:16" ht="21.75" customHeight="1" x14ac:dyDescent="0.25">
      <c r="A85" s="51"/>
      <c r="B85" s="36"/>
      <c r="C85" s="63"/>
      <c r="D85" s="443" t="s">
        <v>449</v>
      </c>
      <c r="E85" s="445"/>
      <c r="F85" s="193"/>
      <c r="G85" s="443" t="s">
        <v>439</v>
      </c>
      <c r="H85" s="97"/>
      <c r="I85" s="193"/>
      <c r="J85" s="56"/>
      <c r="K85" s="50"/>
      <c r="L85" s="273"/>
      <c r="N85" s="101"/>
      <c r="O85" s="38"/>
      <c r="P85" s="107"/>
    </row>
    <row r="86" spans="1:16" ht="21.75" customHeight="1" x14ac:dyDescent="0.25">
      <c r="A86" s="51"/>
      <c r="B86" s="36"/>
      <c r="C86" s="63"/>
      <c r="D86" s="443" t="s">
        <v>444</v>
      </c>
      <c r="E86" s="445"/>
      <c r="F86" s="193"/>
      <c r="G86" s="443" t="s">
        <v>445</v>
      </c>
      <c r="H86" s="98"/>
      <c r="I86" s="193"/>
      <c r="J86" s="56"/>
      <c r="K86" s="50"/>
      <c r="L86" s="273"/>
      <c r="N86" s="101"/>
      <c r="O86" s="38"/>
      <c r="P86" s="107"/>
    </row>
    <row r="87" spans="1:16" ht="21.75" customHeight="1" x14ac:dyDescent="0.25">
      <c r="A87" s="51" t="s">
        <v>114</v>
      </c>
      <c r="B87" s="36"/>
      <c r="C87" s="63"/>
      <c r="D87" s="443" t="s">
        <v>447</v>
      </c>
      <c r="E87" s="445"/>
      <c r="F87" s="193"/>
      <c r="G87" s="443" t="s">
        <v>441</v>
      </c>
      <c r="H87" s="97"/>
      <c r="I87" s="193"/>
      <c r="J87" s="56"/>
      <c r="K87" s="50"/>
      <c r="L87" s="273"/>
      <c r="N87" s="101"/>
      <c r="O87" s="38"/>
      <c r="P87" s="107"/>
    </row>
    <row r="88" spans="1:16" ht="21.75" customHeight="1" thickBot="1" x14ac:dyDescent="0.3">
      <c r="A88" s="51"/>
      <c r="B88" s="36"/>
      <c r="C88" s="63"/>
      <c r="D88" s="443" t="s">
        <v>436</v>
      </c>
      <c r="E88" s="323"/>
      <c r="F88" s="193"/>
      <c r="G88" s="443" t="s">
        <v>454</v>
      </c>
      <c r="H88" s="98"/>
      <c r="I88" s="193"/>
      <c r="J88" s="347" t="str">
        <f>'Moors League'!P69</f>
        <v>5.38.93</v>
      </c>
      <c r="K88" s="348">
        <f>'Moors League'!Q69</f>
        <v>2</v>
      </c>
      <c r="L88" s="83"/>
      <c r="M88" s="377"/>
      <c r="N88" s="486" t="str">
        <f>_xlfn.IFNA((VLOOKUP(L88,'DQ Lookup'!$A$2:$B$59,2,FALSE)),"")</f>
        <v/>
      </c>
      <c r="O88" s="38"/>
      <c r="P88" s="107">
        <v>7.0000000000000007E-2</v>
      </c>
    </row>
    <row r="89" spans="1:16" ht="24.75" customHeight="1" thickBot="1" x14ac:dyDescent="0.25">
      <c r="F89" s="57"/>
      <c r="G89" s="349"/>
      <c r="H89" s="495" t="s">
        <v>71</v>
      </c>
      <c r="I89" s="495"/>
      <c r="J89" s="482"/>
      <c r="K89" s="58">
        <f>SUM(K4:K88)</f>
        <v>154</v>
      </c>
      <c r="L89" s="56"/>
      <c r="N89" s="486"/>
    </row>
    <row r="90" spans="1:16" x14ac:dyDescent="0.2">
      <c r="L90" s="57"/>
      <c r="N90" s="102"/>
    </row>
    <row r="91" spans="1:16" x14ac:dyDescent="0.2">
      <c r="L91" s="57"/>
      <c r="N91" s="102"/>
    </row>
    <row r="92" spans="1:16" x14ac:dyDescent="0.2">
      <c r="L92" s="57"/>
      <c r="N92" s="102"/>
    </row>
    <row r="93" spans="1:16" x14ac:dyDescent="0.2">
      <c r="L93" s="57"/>
      <c r="N93" s="102"/>
    </row>
    <row r="94" spans="1:16" x14ac:dyDescent="0.2">
      <c r="L94" s="57"/>
      <c r="N94" s="102"/>
    </row>
    <row r="95" spans="1:16" x14ac:dyDescent="0.2">
      <c r="L95" s="57"/>
      <c r="N95" s="102"/>
    </row>
    <row r="96" spans="1:16" x14ac:dyDescent="0.2">
      <c r="L96" s="57"/>
      <c r="N96" s="102"/>
    </row>
    <row r="97" spans="12:14" x14ac:dyDescent="0.2">
      <c r="L97" s="57"/>
      <c r="N97" s="102"/>
    </row>
    <row r="98" spans="12:14" x14ac:dyDescent="0.2">
      <c r="L98" s="57"/>
      <c r="N98" s="102"/>
    </row>
    <row r="99" spans="12:14" x14ac:dyDescent="0.2">
      <c r="L99" s="57"/>
      <c r="N99" s="102"/>
    </row>
    <row r="100" spans="12:14" x14ac:dyDescent="0.2">
      <c r="L100" s="57"/>
      <c r="N100" s="102"/>
    </row>
    <row r="101" spans="12:14" x14ac:dyDescent="0.2">
      <c r="L101" s="57"/>
      <c r="N101" s="102"/>
    </row>
    <row r="102" spans="12:14" x14ac:dyDescent="0.2">
      <c r="L102" s="57"/>
      <c r="N102" s="102"/>
    </row>
    <row r="103" spans="12:14" x14ac:dyDescent="0.2">
      <c r="L103" s="57"/>
      <c r="N103" s="102"/>
    </row>
    <row r="104" spans="12:14" x14ac:dyDescent="0.2">
      <c r="L104" s="57"/>
      <c r="N104" s="102"/>
    </row>
    <row r="105" spans="12:14" x14ac:dyDescent="0.2">
      <c r="L105" s="57"/>
      <c r="N105" s="102"/>
    </row>
    <row r="106" spans="12:14" x14ac:dyDescent="0.2">
      <c r="L106" s="57"/>
      <c r="N106" s="102"/>
    </row>
    <row r="107" spans="12:14" x14ac:dyDescent="0.2">
      <c r="L107" s="57"/>
      <c r="N107" s="102"/>
    </row>
    <row r="108" spans="12:14" x14ac:dyDescent="0.2">
      <c r="L108" s="57"/>
      <c r="N108" s="102"/>
    </row>
    <row r="109" spans="12:14" x14ac:dyDescent="0.2">
      <c r="L109" s="57"/>
      <c r="N109" s="102"/>
    </row>
    <row r="110" spans="12:14" x14ac:dyDescent="0.2">
      <c r="L110" s="57"/>
      <c r="N110" s="102"/>
    </row>
    <row r="111" spans="12:14" x14ac:dyDescent="0.2">
      <c r="L111" s="57"/>
      <c r="N111" s="102"/>
    </row>
    <row r="112" spans="12:14" x14ac:dyDescent="0.2">
      <c r="L112" s="57"/>
      <c r="N112" s="102"/>
    </row>
    <row r="113" spans="12:14" x14ac:dyDescent="0.2">
      <c r="L113" s="57"/>
      <c r="N113" s="102"/>
    </row>
    <row r="114" spans="12:14" x14ac:dyDescent="0.2">
      <c r="L114" s="57"/>
      <c r="N114" s="102"/>
    </row>
    <row r="115" spans="12:14" x14ac:dyDescent="0.2">
      <c r="L115" s="57"/>
      <c r="N115" s="102"/>
    </row>
    <row r="116" spans="12:14" x14ac:dyDescent="0.2">
      <c r="L116" s="57"/>
      <c r="N116" s="102"/>
    </row>
    <row r="117" spans="12:14" x14ac:dyDescent="0.2">
      <c r="L117" s="57"/>
      <c r="N117" s="102"/>
    </row>
    <row r="118" spans="12:14" x14ac:dyDescent="0.2">
      <c r="L118" s="57"/>
      <c r="N118" s="102"/>
    </row>
    <row r="119" spans="12:14" x14ac:dyDescent="0.2">
      <c r="L119" s="57"/>
      <c r="N119" s="102"/>
    </row>
    <row r="120" spans="12:14" x14ac:dyDescent="0.2">
      <c r="L120" s="57"/>
      <c r="N120" s="102"/>
    </row>
    <row r="121" spans="12:14" x14ac:dyDescent="0.2">
      <c r="L121" s="57"/>
      <c r="N121" s="102"/>
    </row>
    <row r="122" spans="12:14" x14ac:dyDescent="0.2">
      <c r="L122" s="57"/>
      <c r="N122" s="102"/>
    </row>
    <row r="123" spans="12:14" x14ac:dyDescent="0.2">
      <c r="L123" s="57"/>
      <c r="N123" s="102"/>
    </row>
    <row r="124" spans="12:14" x14ac:dyDescent="0.2">
      <c r="L124" s="57"/>
      <c r="N124" s="102"/>
    </row>
    <row r="125" spans="12:14" x14ac:dyDescent="0.2">
      <c r="L125" s="57"/>
      <c r="N125" s="102"/>
    </row>
    <row r="126" spans="12:14" x14ac:dyDescent="0.2">
      <c r="L126" s="57"/>
      <c r="N126" s="102"/>
    </row>
    <row r="127" spans="12:14" x14ac:dyDescent="0.2">
      <c r="L127" s="57"/>
      <c r="N127" s="102"/>
    </row>
    <row r="128" spans="12:14" x14ac:dyDescent="0.2">
      <c r="L128" s="57"/>
      <c r="N128" s="102"/>
    </row>
    <row r="129" spans="12:14" x14ac:dyDescent="0.2">
      <c r="L129" s="57"/>
      <c r="N129" s="102"/>
    </row>
    <row r="130" spans="12:14" x14ac:dyDescent="0.2">
      <c r="L130" s="57"/>
      <c r="N130" s="102"/>
    </row>
    <row r="131" spans="12:14" x14ac:dyDescent="0.2">
      <c r="L131" s="57"/>
      <c r="N131" s="102"/>
    </row>
    <row r="132" spans="12:14" x14ac:dyDescent="0.2">
      <c r="L132" s="57"/>
      <c r="N132" s="102"/>
    </row>
    <row r="133" spans="12:14" x14ac:dyDescent="0.2">
      <c r="L133" s="57"/>
      <c r="N133" s="102"/>
    </row>
    <row r="134" spans="12:14" x14ac:dyDescent="0.2">
      <c r="L134" s="57"/>
      <c r="N134" s="102"/>
    </row>
    <row r="135" spans="12:14" x14ac:dyDescent="0.2">
      <c r="L135" s="57"/>
      <c r="N135" s="102"/>
    </row>
    <row r="136" spans="12:14" x14ac:dyDescent="0.2">
      <c r="L136" s="57"/>
      <c r="N136" s="102"/>
    </row>
    <row r="137" spans="12:14" x14ac:dyDescent="0.2">
      <c r="L137" s="57"/>
      <c r="N137" s="102"/>
    </row>
  </sheetData>
  <sheetProtection selectLockedCells="1" selectUnlockedCells="1"/>
  <protectedRanges>
    <protectedRange sqref="D16:E16 D20:E20 D25:E25" name="Range1_1"/>
    <protectedRange sqref="G16 G18:G20" name="Range1_3"/>
  </protectedRanges>
  <mergeCells count="9">
    <mergeCell ref="N33:N34"/>
    <mergeCell ref="N88:N89"/>
    <mergeCell ref="A1:D1"/>
    <mergeCell ref="A2:B2"/>
    <mergeCell ref="J36:K36"/>
    <mergeCell ref="H89:J89"/>
    <mergeCell ref="J76:K76"/>
    <mergeCell ref="J78:K78"/>
    <mergeCell ref="J74:K74"/>
  </mergeCells>
  <pageMargins left="0.70833333333333337" right="0.70833333333333337" top="0.74791666666666667" bottom="0.74791666666666667" header="0.51180555555555551" footer="0.51180555555555551"/>
  <pageSetup paperSize="9" scale="71" firstPageNumber="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'DQ Lookup'!$A$2:$A$59</xm:f>
          </x14:formula1>
          <xm:sqref>L4:L88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2"/>
  <sheetViews>
    <sheetView topLeftCell="A68" zoomScale="90" zoomScaleNormal="90" workbookViewId="0">
      <selection activeCell="K19" sqref="K19"/>
    </sheetView>
  </sheetViews>
  <sheetFormatPr defaultColWidth="8.85546875" defaultRowHeight="12.75" x14ac:dyDescent="0.2"/>
  <cols>
    <col min="1" max="1" width="3.7109375" style="21" customWidth="1"/>
    <col min="2" max="2" width="8.28515625" customWidth="1"/>
    <col min="3" max="4" width="12.140625" customWidth="1"/>
    <col min="5" max="5" width="16.140625" customWidth="1"/>
    <col min="6" max="6" width="0.85546875" style="22" customWidth="1"/>
    <col min="7" max="7" width="4.28515625" style="21" customWidth="1"/>
    <col min="8" max="8" width="5.140625" style="21" customWidth="1"/>
    <col min="9" max="9" width="3.42578125" style="21" customWidth="1"/>
    <col min="10" max="10" width="18" customWidth="1"/>
    <col min="12" max="12" width="20.85546875" customWidth="1"/>
    <col min="15" max="15" width="22.42578125" style="21" customWidth="1"/>
    <col min="16" max="16" width="21.140625" style="21" customWidth="1"/>
    <col min="17" max="17" width="21.42578125" style="21" customWidth="1"/>
    <col min="18" max="18" width="23.7109375" style="21" customWidth="1"/>
    <col min="19" max="19" width="14.7109375" customWidth="1"/>
  </cols>
  <sheetData>
    <row r="1" spans="1:18" ht="29.25" customHeight="1" thickBot="1" x14ac:dyDescent="0.4">
      <c r="A1" s="59" t="s">
        <v>75</v>
      </c>
      <c r="J1" s="134" t="s">
        <v>118</v>
      </c>
      <c r="O1" s="497" t="s">
        <v>119</v>
      </c>
      <c r="P1" s="497"/>
      <c r="Q1" s="497"/>
      <c r="R1" s="497"/>
    </row>
    <row r="2" spans="1:18" s="27" customFormat="1" ht="18.75" x14ac:dyDescent="0.3">
      <c r="A2" s="477" t="s">
        <v>1</v>
      </c>
      <c r="B2" s="477"/>
      <c r="C2" s="26" t="str">
        <f>'Moors League'!C3</f>
        <v>Redcar Leisure Centre (Host Stokesley)</v>
      </c>
      <c r="D2" s="26"/>
      <c r="E2" s="26"/>
      <c r="F2" s="27" t="s">
        <v>76</v>
      </c>
      <c r="G2" s="135" t="str">
        <f>'Moors League'!L3</f>
        <v>17th June 2023</v>
      </c>
      <c r="H2" s="136"/>
      <c r="I2" s="136"/>
      <c r="O2" s="137" t="str">
        <f>'Lane 1 Team Sheet'!G1</f>
        <v>Stokesley</v>
      </c>
      <c r="P2" s="138" t="str">
        <f>'Lane 2 Team Sheet'!G1</f>
        <v>Guisborough</v>
      </c>
      <c r="Q2" s="138" t="str">
        <f>'Lane 3 Team Sheet'!G1</f>
        <v>Eston</v>
      </c>
      <c r="R2" s="139" t="str">
        <f>'Lane 4 Team Sheet'!G1</f>
        <v>Northallerton</v>
      </c>
    </row>
    <row r="3" spans="1:18" s="32" customFormat="1" x14ac:dyDescent="0.2">
      <c r="A3" s="31"/>
      <c r="F3" s="33"/>
      <c r="G3" s="31"/>
      <c r="H3" s="31"/>
      <c r="I3" s="31"/>
      <c r="K3" s="106" t="s">
        <v>120</v>
      </c>
      <c r="L3" s="140">
        <v>45080</v>
      </c>
      <c r="O3" s="141" t="s">
        <v>7</v>
      </c>
      <c r="P3" s="76" t="s">
        <v>8</v>
      </c>
      <c r="Q3" s="76" t="s">
        <v>9</v>
      </c>
      <c r="R3" s="142" t="s">
        <v>10</v>
      </c>
    </row>
    <row r="4" spans="1:18" s="32" customFormat="1" ht="21.75" customHeight="1" x14ac:dyDescent="0.2">
      <c r="A4" s="143">
        <v>1</v>
      </c>
      <c r="B4" s="89" t="s">
        <v>121</v>
      </c>
      <c r="C4" s="143" t="s">
        <v>122</v>
      </c>
      <c r="D4" s="143"/>
      <c r="E4" s="89" t="s">
        <v>123</v>
      </c>
      <c r="F4" s="89"/>
      <c r="G4" s="144">
        <v>8</v>
      </c>
      <c r="H4" s="144">
        <v>2</v>
      </c>
      <c r="I4" s="144">
        <v>14</v>
      </c>
      <c r="J4" s="143" t="s">
        <v>5</v>
      </c>
      <c r="K4" s="145">
        <v>31.23</v>
      </c>
      <c r="L4" s="146" t="s">
        <v>115</v>
      </c>
      <c r="O4" s="76" t="str">
        <f>IF(K4&gt;'Moors League'!D9,'Lane 1 Team Sheet'!D4,"X")</f>
        <v>X</v>
      </c>
      <c r="P4" s="76" t="str">
        <f>IF(K4&gt;'Moors League'!H9,'Lane 2 Team Sheet'!D4,"X")</f>
        <v>X</v>
      </c>
      <c r="Q4" s="76" t="str">
        <f>IF(K4&gt;'Moors League'!L9,'Lane 3 Team Sheet'!D4,"X")</f>
        <v>X</v>
      </c>
      <c r="R4" s="76" t="str">
        <f>IF(K4&gt;'Moors League'!P9,'Lane 4 Team Sheet'!D4,"X")</f>
        <v>X</v>
      </c>
    </row>
    <row r="5" spans="1:18" s="32" customFormat="1" ht="21.75" customHeight="1" x14ac:dyDescent="0.2">
      <c r="A5" s="147">
        <v>2</v>
      </c>
      <c r="B5" s="99" t="s">
        <v>124</v>
      </c>
      <c r="C5" s="147" t="s">
        <v>122</v>
      </c>
      <c r="D5" s="147"/>
      <c r="E5" s="99" t="s">
        <v>123</v>
      </c>
      <c r="F5" s="99"/>
      <c r="G5" s="144">
        <v>1</v>
      </c>
      <c r="H5" s="144">
        <v>6</v>
      </c>
      <c r="I5" s="144">
        <v>19</v>
      </c>
      <c r="J5" s="143" t="s">
        <v>150</v>
      </c>
      <c r="K5" s="145">
        <v>28.11</v>
      </c>
      <c r="L5" s="146" t="s">
        <v>177</v>
      </c>
      <c r="O5" s="76" t="str">
        <f>IF(K5&gt;'Moors League'!D10,'Lane 1 Team Sheet'!D5,"X")</f>
        <v>X</v>
      </c>
      <c r="P5" s="76" t="str">
        <f>IF(K5&gt;'Moors League'!H10,'Lane 2 Team Sheet'!D5,"X")</f>
        <v>X</v>
      </c>
      <c r="Q5" s="76" t="str">
        <f>IF(K5&gt;'Moors League'!L10,'Lane 3 Team Sheet'!D5,"X")</f>
        <v>X</v>
      </c>
      <c r="R5" s="76" t="str">
        <f>IF(K5&gt;'Moors League'!P10,'Lane 4 Team Sheet'!D5,"X")</f>
        <v>X</v>
      </c>
    </row>
    <row r="6" spans="1:18" s="32" customFormat="1" ht="21.75" customHeight="1" x14ac:dyDescent="0.2">
      <c r="A6" s="143">
        <v>3</v>
      </c>
      <c r="B6" s="89" t="s">
        <v>121</v>
      </c>
      <c r="C6" s="143" t="s">
        <v>126</v>
      </c>
      <c r="D6" s="143"/>
      <c r="E6" s="89" t="s">
        <v>127</v>
      </c>
      <c r="F6" s="89"/>
      <c r="G6" s="144">
        <v>22</v>
      </c>
      <c r="H6" s="144">
        <v>10</v>
      </c>
      <c r="I6" s="144">
        <v>16</v>
      </c>
      <c r="J6" s="143" t="s">
        <v>4</v>
      </c>
      <c r="K6" s="145">
        <v>32.950000000000003</v>
      </c>
      <c r="L6" s="146" t="s">
        <v>99</v>
      </c>
      <c r="O6" s="76" t="str">
        <f>IF(K6&gt;'Moors League'!D11,'Lane 1 Team Sheet'!D6,"X")</f>
        <v>X</v>
      </c>
      <c r="P6" s="76" t="str">
        <f>IF(K6&gt;'Moors League'!H11,'Lane 2 Team Sheet'!D6,"X")</f>
        <v>X</v>
      </c>
      <c r="Q6" s="76" t="str">
        <f>IF(K6&gt;'Moors League'!L11,'Lane 3 Team Sheet'!D6,"X")</f>
        <v>X</v>
      </c>
      <c r="R6" s="76" t="str">
        <f>IF(K6&gt;'Moors League'!P11,'Lane 4 Team Sheet'!D6,"X")</f>
        <v>X</v>
      </c>
    </row>
    <row r="7" spans="1:18" s="32" customFormat="1" ht="21.75" customHeight="1" x14ac:dyDescent="0.2">
      <c r="A7" s="143">
        <v>4</v>
      </c>
      <c r="B7" s="89" t="s">
        <v>124</v>
      </c>
      <c r="C7" s="143" t="s">
        <v>126</v>
      </c>
      <c r="D7" s="143"/>
      <c r="E7" s="89" t="s">
        <v>127</v>
      </c>
      <c r="F7" s="89"/>
      <c r="G7" s="144">
        <v>5</v>
      </c>
      <c r="H7" s="144">
        <v>4</v>
      </c>
      <c r="I7" s="144">
        <v>3</v>
      </c>
      <c r="J7" s="143" t="s">
        <v>128</v>
      </c>
      <c r="K7" s="145">
        <v>32.93</v>
      </c>
      <c r="L7" s="146" t="s">
        <v>129</v>
      </c>
      <c r="O7" s="76" t="str">
        <f>IF(K7&gt;'Moors League'!D12,'Lane 1 Team Sheet'!D7,"X")</f>
        <v>X</v>
      </c>
      <c r="P7" s="76" t="str">
        <f>IF(K7&gt;'Moors League'!H12,'Lane 2 Team Sheet'!D7,"X")</f>
        <v>X</v>
      </c>
      <c r="Q7" s="76" t="str">
        <f>IF(K7&gt;'Moors League'!L12,'Lane 3 Team Sheet'!D7,"X")</f>
        <v>X</v>
      </c>
      <c r="R7" s="76" t="str">
        <f>IF(K7&gt;'Moors League'!P12,'Lane 4 Team Sheet'!D7,"X")</f>
        <v>X</v>
      </c>
    </row>
    <row r="8" spans="1:18" s="32" customFormat="1" ht="21.75" customHeight="1" x14ac:dyDescent="0.2">
      <c r="A8" s="143">
        <v>5</v>
      </c>
      <c r="B8" s="89" t="s">
        <v>121</v>
      </c>
      <c r="C8" s="143" t="s">
        <v>130</v>
      </c>
      <c r="D8" s="143"/>
      <c r="E8" s="89" t="s">
        <v>131</v>
      </c>
      <c r="F8" s="89"/>
      <c r="G8" s="144">
        <v>29</v>
      </c>
      <c r="H8" s="144">
        <v>6</v>
      </c>
      <c r="I8" s="144">
        <v>13</v>
      </c>
      <c r="J8" s="143" t="s">
        <v>5</v>
      </c>
      <c r="K8" s="145">
        <v>35.49</v>
      </c>
      <c r="L8" s="146" t="s">
        <v>115</v>
      </c>
      <c r="O8" s="76" t="str">
        <f>IF(K8&gt;'Moors League'!D13,'Lane 1 Team Sheet'!D8,"X")</f>
        <v>X</v>
      </c>
      <c r="P8" s="76" t="str">
        <f>IF(K8&gt;'Moors League'!H13,'Lane 2 Team Sheet'!D8,"X")</f>
        <v>X</v>
      </c>
      <c r="Q8" s="76" t="str">
        <f>IF(K8&gt;'Moors League'!L13,'Lane 3 Team Sheet'!D8,"X")</f>
        <v>X</v>
      </c>
      <c r="R8" s="76" t="str">
        <f>IF(K8&gt;'Moors League'!P13,'Lane 4 Team Sheet'!D8,"X")</f>
        <v>X</v>
      </c>
    </row>
    <row r="9" spans="1:18" s="32" customFormat="1" ht="21.75" customHeight="1" x14ac:dyDescent="0.2">
      <c r="A9" s="143">
        <v>6</v>
      </c>
      <c r="B9" s="89" t="s">
        <v>124</v>
      </c>
      <c r="C9" s="143" t="s">
        <v>130</v>
      </c>
      <c r="D9" s="143"/>
      <c r="E9" s="89" t="s">
        <v>131</v>
      </c>
      <c r="F9" s="89"/>
      <c r="G9" s="144">
        <v>18</v>
      </c>
      <c r="H9" s="144">
        <v>5</v>
      </c>
      <c r="I9" s="144">
        <v>19</v>
      </c>
      <c r="J9" s="143" t="s">
        <v>150</v>
      </c>
      <c r="K9" s="145">
        <v>30.78</v>
      </c>
      <c r="L9" s="146" t="s">
        <v>179</v>
      </c>
      <c r="O9" s="76" t="str">
        <f>IF(K9&gt;'Moors League'!D14,'Lane 1 Team Sheet'!D9,"X")</f>
        <v>X</v>
      </c>
      <c r="P9" s="76" t="str">
        <f>IF(K9&gt;'Moors League'!H14,'Lane 2 Team Sheet'!D9,"X")</f>
        <v>X</v>
      </c>
      <c r="Q9" s="76" t="str">
        <f>IF(K9&gt;'Moors League'!L14,'Lane 3 Team Sheet'!D9,"X")</f>
        <v>X</v>
      </c>
      <c r="R9" s="76" t="str">
        <f>IF(K9&gt;'Moors League'!P14,'Lane 4 Team Sheet'!D9,"X")</f>
        <v>X</v>
      </c>
    </row>
    <row r="10" spans="1:18" s="32" customFormat="1" ht="21.75" customHeight="1" x14ac:dyDescent="0.2">
      <c r="A10" s="143">
        <v>7</v>
      </c>
      <c r="B10" s="89" t="s">
        <v>121</v>
      </c>
      <c r="C10" s="143" t="s">
        <v>133</v>
      </c>
      <c r="D10" s="143"/>
      <c r="E10" s="89" t="s">
        <v>134</v>
      </c>
      <c r="F10" s="89"/>
      <c r="G10" s="144">
        <v>21</v>
      </c>
      <c r="H10" s="144">
        <v>6</v>
      </c>
      <c r="I10" s="144">
        <v>8</v>
      </c>
      <c r="J10" s="143" t="s">
        <v>135</v>
      </c>
      <c r="K10" s="145">
        <v>14.87</v>
      </c>
      <c r="L10" s="146" t="s">
        <v>136</v>
      </c>
      <c r="O10" s="76" t="str">
        <f>IF(K10&gt;'Moors League'!D15,'Lane 1 Team Sheet'!D10,"X")</f>
        <v>X</v>
      </c>
      <c r="P10" s="76" t="str">
        <f>IF(K10&gt;'Moors League'!H15,'Lane 2 Team Sheet'!D10,"X")</f>
        <v>X</v>
      </c>
      <c r="Q10" s="76" t="str">
        <f>IF(K10&gt;'Moors League'!L15,'Lane 3 Team Sheet'!D10,"X")</f>
        <v>X</v>
      </c>
      <c r="R10" s="76" t="str">
        <f>IF(K10&gt;'Moors League'!P15,'Lane 4 Team Sheet'!D10,"X")</f>
        <v>X</v>
      </c>
    </row>
    <row r="11" spans="1:18" s="32" customFormat="1" ht="21.75" customHeight="1" x14ac:dyDescent="0.2">
      <c r="A11" s="143">
        <v>8</v>
      </c>
      <c r="B11" s="89" t="s">
        <v>124</v>
      </c>
      <c r="C11" s="143" t="s">
        <v>133</v>
      </c>
      <c r="D11" s="143"/>
      <c r="E11" s="89" t="s">
        <v>134</v>
      </c>
      <c r="F11" s="89"/>
      <c r="G11" s="144">
        <v>18</v>
      </c>
      <c r="H11" s="144">
        <v>6</v>
      </c>
      <c r="I11" s="144">
        <v>16</v>
      </c>
      <c r="J11" s="143" t="s">
        <v>137</v>
      </c>
      <c r="K11" s="145">
        <v>14.84</v>
      </c>
      <c r="L11" s="146" t="s">
        <v>167</v>
      </c>
      <c r="O11" s="76" t="str">
        <f>IF(K11&gt;'Moors League'!D16,'Lane 1 Team Sheet'!D11,"X")</f>
        <v>X</v>
      </c>
      <c r="P11" s="76" t="str">
        <f>IF(K11&gt;'Moors League'!H16,'Lane 2 Team Sheet'!D11,"X")</f>
        <v>X</v>
      </c>
      <c r="Q11" s="76" t="str">
        <f>IF(K11&gt;'Moors League'!L16,'Lane 3 Team Sheet'!D11,"X")</f>
        <v>X</v>
      </c>
      <c r="R11" s="76" t="str">
        <f>IF(K11&gt;'Moors League'!P16,'Lane 4 Team Sheet'!D11,"X")</f>
        <v>X</v>
      </c>
    </row>
    <row r="12" spans="1:18" s="32" customFormat="1" ht="21.75" customHeight="1" x14ac:dyDescent="0.2">
      <c r="A12" s="143">
        <v>9</v>
      </c>
      <c r="B12" s="89" t="s">
        <v>121</v>
      </c>
      <c r="C12" s="143" t="s">
        <v>138</v>
      </c>
      <c r="D12" s="143"/>
      <c r="E12" s="89" t="s">
        <v>123</v>
      </c>
      <c r="F12" s="89"/>
      <c r="G12" s="144">
        <v>20</v>
      </c>
      <c r="H12" s="144">
        <v>5</v>
      </c>
      <c r="I12" s="144">
        <v>23</v>
      </c>
      <c r="J12" s="143" t="s">
        <v>4</v>
      </c>
      <c r="K12" s="450">
        <v>32.29</v>
      </c>
      <c r="L12" s="146" t="s">
        <v>242</v>
      </c>
      <c r="O12" s="76" t="str">
        <f>IF(K12&gt;'Moors League'!D17,'Lane 1 Team Sheet'!D12,"X")</f>
        <v>X</v>
      </c>
      <c r="P12" s="76" t="str">
        <f>IF(K12&gt;'Moors League'!H17,'Lane 2 Team Sheet'!D12,"X")</f>
        <v>X</v>
      </c>
      <c r="Q12" s="76" t="str">
        <f>IF(K12&gt;'Moors League'!L17,'Lane 3 Team Sheet'!D12,"X")</f>
        <v>X</v>
      </c>
      <c r="R12" s="76" t="str">
        <f>IF(K12&gt;'Moors League'!P17,'Lane 4 Team Sheet'!D12,"X")</f>
        <v>X</v>
      </c>
    </row>
    <row r="13" spans="1:18" s="32" customFormat="1" ht="21.75" customHeight="1" x14ac:dyDescent="0.2">
      <c r="A13" s="143">
        <v>10</v>
      </c>
      <c r="B13" s="89" t="s">
        <v>124</v>
      </c>
      <c r="C13" s="143" t="s">
        <v>138</v>
      </c>
      <c r="D13" s="143"/>
      <c r="E13" s="89" t="s">
        <v>123</v>
      </c>
      <c r="F13" s="89"/>
      <c r="G13" s="144">
        <v>29</v>
      </c>
      <c r="H13" s="144">
        <v>10</v>
      </c>
      <c r="I13" s="144">
        <v>5</v>
      </c>
      <c r="J13" s="143" t="s">
        <v>128</v>
      </c>
      <c r="K13" s="145">
        <v>30.9</v>
      </c>
      <c r="L13" s="146" t="s">
        <v>132</v>
      </c>
      <c r="O13" s="76" t="str">
        <f>IF(K13&gt;'Moors League'!D18,'Lane 1 Team Sheet'!D13,"X")</f>
        <v>X</v>
      </c>
      <c r="P13" s="76" t="str">
        <f>IF(K13&gt;'Moors League'!H18,'Lane 2 Team Sheet'!D13,"X")</f>
        <v>X</v>
      </c>
      <c r="Q13" s="76" t="str">
        <f>IF(K13&gt;'Moors League'!L18,'Lane 3 Team Sheet'!D13,"X")</f>
        <v>X</v>
      </c>
      <c r="R13" s="76" t="str">
        <f>IF(K13&gt;'Moors League'!P18,'Lane 4 Team Sheet'!D13,"X")</f>
        <v>X</v>
      </c>
    </row>
    <row r="14" spans="1:18" s="32" customFormat="1" ht="21.75" customHeight="1" x14ac:dyDescent="0.2">
      <c r="A14" s="143">
        <v>11</v>
      </c>
      <c r="B14" s="89" t="s">
        <v>121</v>
      </c>
      <c r="C14" s="143" t="s">
        <v>122</v>
      </c>
      <c r="D14" s="143" t="s">
        <v>221</v>
      </c>
      <c r="E14" s="89" t="s">
        <v>140</v>
      </c>
      <c r="F14" s="89"/>
      <c r="G14" s="144">
        <v>1</v>
      </c>
      <c r="H14" s="144">
        <v>6</v>
      </c>
      <c r="I14" s="144">
        <v>19</v>
      </c>
      <c r="J14" s="143" t="s">
        <v>150</v>
      </c>
      <c r="K14" s="145" t="s">
        <v>178</v>
      </c>
      <c r="L14" s="146"/>
      <c r="M14" s="148"/>
      <c r="O14" s="76" t="str">
        <f>IF(K14&gt;'Moors League'!D19,"RECORD","X")</f>
        <v>X</v>
      </c>
      <c r="P14" s="76" t="str">
        <f>IF(K14&gt;'Moors League'!H19,"RECORD","X")</f>
        <v>X</v>
      </c>
      <c r="Q14" s="76" t="str">
        <f>IF(K14&gt;'Moors League'!L19,"RECORD","X")</f>
        <v>X</v>
      </c>
      <c r="R14" s="76" t="str">
        <f>IF(K14&gt;'Moors League'!P19,"RECORD","X")</f>
        <v>X</v>
      </c>
    </row>
    <row r="15" spans="1:18" s="32" customFormat="1" ht="21.75" customHeight="1" x14ac:dyDescent="0.2">
      <c r="A15" s="143">
        <v>11</v>
      </c>
      <c r="B15" s="89" t="s">
        <v>121</v>
      </c>
      <c r="C15" s="143" t="s">
        <v>122</v>
      </c>
      <c r="D15" s="143" t="s">
        <v>222</v>
      </c>
      <c r="E15" s="89" t="s">
        <v>140</v>
      </c>
      <c r="F15" s="89"/>
      <c r="G15" s="144">
        <v>3</v>
      </c>
      <c r="H15" s="144">
        <v>6</v>
      </c>
      <c r="I15" s="144">
        <v>23</v>
      </c>
      <c r="J15" s="143" t="s">
        <v>150</v>
      </c>
      <c r="K15" s="418" t="s">
        <v>351</v>
      </c>
      <c r="L15" s="146"/>
      <c r="M15" s="148"/>
      <c r="O15" s="76" t="str">
        <f>IF(K15&gt;'Moors League'!D19,"RECORD","X")</f>
        <v>X</v>
      </c>
      <c r="P15" s="76" t="str">
        <f>IF(K15&gt;'Moors League'!H19,"RECORD","X")</f>
        <v>X</v>
      </c>
      <c r="Q15" s="76" t="str">
        <f>IF(K15&gt;'Moors League'!L19,"RECORD","X")</f>
        <v>X</v>
      </c>
      <c r="R15" s="76" t="str">
        <f>IF(K15&gt;'Moors League'!P19,"RECORD","X")</f>
        <v>X</v>
      </c>
    </row>
    <row r="16" spans="1:18" s="32" customFormat="1" ht="21.75" customHeight="1" x14ac:dyDescent="0.2">
      <c r="A16" s="143">
        <v>12</v>
      </c>
      <c r="B16" s="89" t="s">
        <v>124</v>
      </c>
      <c r="C16" s="143" t="s">
        <v>122</v>
      </c>
      <c r="D16" s="143" t="s">
        <v>221</v>
      </c>
      <c r="E16" s="89" t="s">
        <v>140</v>
      </c>
      <c r="F16" s="89"/>
      <c r="G16" s="144">
        <v>6</v>
      </c>
      <c r="H16" s="144">
        <v>7</v>
      </c>
      <c r="I16" s="144">
        <v>19</v>
      </c>
      <c r="J16" s="143" t="s">
        <v>150</v>
      </c>
      <c r="K16" s="145">
        <v>51.75</v>
      </c>
      <c r="L16" s="146"/>
      <c r="M16" s="148"/>
      <c r="O16" s="76" t="str">
        <f>IF(K16&gt;'Moors League'!D20,"RECORD","X")</f>
        <v>X</v>
      </c>
      <c r="P16" s="76" t="str">
        <f>IF(K16&gt;'Moors League'!H20,"RECORD","X")</f>
        <v>X</v>
      </c>
      <c r="Q16" s="76" t="str">
        <f>IF(K16&gt;'Moors League'!L20,"RECORD","X")</f>
        <v>X</v>
      </c>
      <c r="R16" s="76" t="str">
        <f>IF(K16&gt;'Moors League'!P20,"RECORD","X")</f>
        <v>X</v>
      </c>
    </row>
    <row r="17" spans="1:18" s="32" customFormat="1" ht="21.75" customHeight="1" x14ac:dyDescent="0.2">
      <c r="A17" s="143">
        <v>12</v>
      </c>
      <c r="B17" s="89" t="s">
        <v>124</v>
      </c>
      <c r="C17" s="143" t="s">
        <v>122</v>
      </c>
      <c r="D17" s="143" t="s">
        <v>222</v>
      </c>
      <c r="E17" s="89" t="s">
        <v>140</v>
      </c>
      <c r="F17" s="89"/>
      <c r="G17" s="144">
        <v>3</v>
      </c>
      <c r="H17" s="144">
        <v>6</v>
      </c>
      <c r="I17" s="144">
        <v>23</v>
      </c>
      <c r="J17" s="143" t="s">
        <v>150</v>
      </c>
      <c r="K17" s="418" t="s">
        <v>352</v>
      </c>
      <c r="L17" s="146"/>
      <c r="M17" s="148"/>
      <c r="O17" s="76" t="str">
        <f>IF(K17&gt;'Moors League'!D20,"RECORD","X")</f>
        <v>RECORD</v>
      </c>
      <c r="P17" s="76" t="str">
        <f>IF(K17&gt;'Moors League'!H20,"RECORD","X")</f>
        <v>X</v>
      </c>
      <c r="Q17" s="76" t="str">
        <f>IF(K17&gt;'Moors League'!L20,"RECORD","X")</f>
        <v>X</v>
      </c>
      <c r="R17" s="76" t="str">
        <f>IF(K17&gt;'Moors League'!P20,"RECORD","X")</f>
        <v>X</v>
      </c>
    </row>
    <row r="18" spans="1:18" s="32" customFormat="1" ht="21.75" customHeight="1" x14ac:dyDescent="0.2">
      <c r="A18" s="147">
        <v>13</v>
      </c>
      <c r="B18" s="99" t="s">
        <v>121</v>
      </c>
      <c r="C18" s="147" t="s">
        <v>126</v>
      </c>
      <c r="D18" s="143" t="s">
        <v>221</v>
      </c>
      <c r="E18" s="99" t="s">
        <v>142</v>
      </c>
      <c r="F18" s="99"/>
      <c r="G18" s="144">
        <v>25</v>
      </c>
      <c r="H18" s="144">
        <v>6</v>
      </c>
      <c r="I18" s="144">
        <v>16</v>
      </c>
      <c r="J18" s="143" t="s">
        <v>4</v>
      </c>
      <c r="K18" s="145">
        <v>59.06</v>
      </c>
      <c r="L18" s="146"/>
      <c r="O18" s="76" t="str">
        <f>IF(K18&gt;'Moors League'!D21,"RECORD","X")</f>
        <v>X</v>
      </c>
      <c r="P18" s="76" t="str">
        <f>IF(K18&gt;'Moors League'!H21,"RECORD","X")</f>
        <v>X</v>
      </c>
      <c r="Q18" s="76" t="str">
        <f>IF(K18&gt;'Moors League'!L21,"RECORD","X")</f>
        <v>X</v>
      </c>
      <c r="R18" s="76" t="str">
        <f>IF(K18&gt;'Moors League'!P21,"RECORD","X")</f>
        <v>X</v>
      </c>
    </row>
    <row r="19" spans="1:18" s="32" customFormat="1" ht="21.75" customHeight="1" x14ac:dyDescent="0.2">
      <c r="A19" s="147">
        <v>13</v>
      </c>
      <c r="B19" s="99" t="s">
        <v>121</v>
      </c>
      <c r="C19" s="147" t="s">
        <v>126</v>
      </c>
      <c r="D19" s="143" t="s">
        <v>222</v>
      </c>
      <c r="E19" s="99" t="s">
        <v>142</v>
      </c>
      <c r="F19" s="99"/>
      <c r="G19" s="144">
        <v>18</v>
      </c>
      <c r="H19" s="144">
        <v>6</v>
      </c>
      <c r="I19" s="144">
        <v>22</v>
      </c>
      <c r="J19" s="143" t="s">
        <v>150</v>
      </c>
      <c r="K19" s="145" t="s">
        <v>225</v>
      </c>
      <c r="L19" s="146"/>
      <c r="O19" s="76" t="str">
        <f>IF(K19&gt;'Moors League'!D21,"RECORD","X")</f>
        <v>X</v>
      </c>
      <c r="P19" s="76" t="str">
        <f>IF(K19&gt;'Moors League'!H21,"RECORD","X")</f>
        <v>X</v>
      </c>
      <c r="Q19" s="76" t="str">
        <f>IF(K19&gt;'Moors League'!L21,"RECORD","X")</f>
        <v>X</v>
      </c>
      <c r="R19" s="76" t="str">
        <f>IF(K19&gt;'Moors League'!P21,"RECORD","X")</f>
        <v>X</v>
      </c>
    </row>
    <row r="20" spans="1:18" s="32" customFormat="1" ht="21.75" customHeight="1" x14ac:dyDescent="0.2">
      <c r="A20" s="143">
        <v>14</v>
      </c>
      <c r="B20" s="89" t="s">
        <v>124</v>
      </c>
      <c r="C20" s="143" t="s">
        <v>126</v>
      </c>
      <c r="D20" s="143" t="s">
        <v>221</v>
      </c>
      <c r="E20" s="89" t="s">
        <v>142</v>
      </c>
      <c r="F20" s="89"/>
      <c r="G20" s="144">
        <v>30</v>
      </c>
      <c r="H20" s="144">
        <v>6</v>
      </c>
      <c r="I20" s="144">
        <v>12</v>
      </c>
      <c r="J20" s="143" t="s">
        <v>141</v>
      </c>
      <c r="K20" s="145">
        <v>58.82</v>
      </c>
      <c r="L20" s="146"/>
      <c r="O20" s="76" t="str">
        <f>IF(K20&gt;'Moors League'!D22,"RECORD","X")</f>
        <v>X</v>
      </c>
      <c r="P20" s="76" t="str">
        <f>IF(K20&gt;'Moors League'!H22,"RECORD","X")</f>
        <v>X</v>
      </c>
      <c r="Q20" s="76" t="str">
        <f>IF(K20&gt;'Moors League'!L22,"RECORD","X")</f>
        <v>X</v>
      </c>
      <c r="R20" s="76" t="str">
        <f>IF(K20&gt;'Moors League'!P22,"RECORD","X")</f>
        <v>X</v>
      </c>
    </row>
    <row r="21" spans="1:18" s="32" customFormat="1" ht="21.75" customHeight="1" x14ac:dyDescent="0.2">
      <c r="A21" s="143">
        <v>14</v>
      </c>
      <c r="B21" s="89" t="s">
        <v>124</v>
      </c>
      <c r="C21" s="143" t="s">
        <v>126</v>
      </c>
      <c r="D21" s="143" t="s">
        <v>222</v>
      </c>
      <c r="E21" s="89" t="s">
        <v>142</v>
      </c>
      <c r="F21" s="89"/>
      <c r="G21" s="144">
        <v>20</v>
      </c>
      <c r="H21" s="144">
        <v>5</v>
      </c>
      <c r="I21" s="144">
        <v>23</v>
      </c>
      <c r="J21" s="143" t="s">
        <v>150</v>
      </c>
      <c r="K21" s="450" t="s">
        <v>298</v>
      </c>
      <c r="L21" s="146"/>
      <c r="O21" s="76" t="str">
        <f>IF(K21&gt;'Moors League'!D22,"RECORD","X")</f>
        <v>X</v>
      </c>
      <c r="P21" s="76" t="str">
        <f>IF(K21&gt;'Moors League'!H22,"RECORD","X")</f>
        <v>X</v>
      </c>
      <c r="Q21" s="76" t="str">
        <f>IF(K21&gt;'Moors League'!L22,"RECORD","X")</f>
        <v>X</v>
      </c>
      <c r="R21" s="76" t="str">
        <f>IF(K21&gt;'Moors League'!P22,"RECORD","X")</f>
        <v>X</v>
      </c>
    </row>
    <row r="22" spans="1:18" s="32" customFormat="1" ht="21.75" customHeight="1" x14ac:dyDescent="0.2">
      <c r="A22" s="143">
        <v>15</v>
      </c>
      <c r="B22" s="89" t="s">
        <v>121</v>
      </c>
      <c r="C22" s="143" t="s">
        <v>138</v>
      </c>
      <c r="D22" s="143"/>
      <c r="E22" s="89" t="s">
        <v>131</v>
      </c>
      <c r="F22" s="89"/>
      <c r="G22" s="144">
        <v>15</v>
      </c>
      <c r="H22" s="144">
        <v>3</v>
      </c>
      <c r="I22" s="144">
        <v>97</v>
      </c>
      <c r="J22" s="143" t="s">
        <v>141</v>
      </c>
      <c r="K22" s="145">
        <v>36.49</v>
      </c>
      <c r="L22" s="146" t="s">
        <v>143</v>
      </c>
      <c r="O22" s="76" t="str">
        <f>IF(K22&gt;'Moors League'!D23,'Lane 1 Team Sheet'!D22,"X")</f>
        <v>X</v>
      </c>
      <c r="P22" s="76" t="str">
        <f>IF(K22&gt;'Moors League'!H23,'Lane 2 Team Sheet'!D22,"X")</f>
        <v>X</v>
      </c>
      <c r="Q22" s="76" t="str">
        <f>IF(K22&gt;'Moors League'!L23,'Lane 3 Team Sheet'!D22,"X")</f>
        <v>X</v>
      </c>
      <c r="R22" s="76" t="str">
        <f>IF(K22&gt;'Moors League'!P23,'Lane 4 Team Sheet'!D22,"X")</f>
        <v>X</v>
      </c>
    </row>
    <row r="23" spans="1:18" s="32" customFormat="1" ht="21.75" customHeight="1" x14ac:dyDescent="0.2">
      <c r="A23" s="143">
        <v>16</v>
      </c>
      <c r="B23" s="89" t="s">
        <v>124</v>
      </c>
      <c r="C23" s="143" t="s">
        <v>138</v>
      </c>
      <c r="D23" s="143"/>
      <c r="E23" s="89" t="s">
        <v>131</v>
      </c>
      <c r="F23" s="89"/>
      <c r="G23" s="144">
        <v>29</v>
      </c>
      <c r="H23" s="144">
        <v>6</v>
      </c>
      <c r="I23" s="144">
        <v>2</v>
      </c>
      <c r="J23" s="143" t="s">
        <v>135</v>
      </c>
      <c r="K23" s="145">
        <v>33.880000000000003</v>
      </c>
      <c r="L23" s="146" t="s">
        <v>144</v>
      </c>
      <c r="O23" s="76" t="str">
        <f>IF(K23&gt;'Moors League'!D24,'Lane 1 Team Sheet'!D23,"X")</f>
        <v>X</v>
      </c>
      <c r="P23" s="76" t="str">
        <f>IF(K23&gt;'Moors League'!H24,'Lane 2 Team Sheet'!D23,"X")</f>
        <v>X</v>
      </c>
      <c r="Q23" s="76" t="str">
        <f>IF(K23&gt;'Moors League'!L24,'Lane 3 Team Sheet'!D23,"X")</f>
        <v>X</v>
      </c>
      <c r="R23" s="76" t="str">
        <f>IF(K23&gt;'Moors League'!P24,'Lane 4 Team Sheet'!D23,"X")</f>
        <v>X</v>
      </c>
    </row>
    <row r="24" spans="1:18" s="32" customFormat="1" ht="21.75" customHeight="1" x14ac:dyDescent="0.2">
      <c r="A24" s="143">
        <v>17</v>
      </c>
      <c r="B24" s="89" t="s">
        <v>121</v>
      </c>
      <c r="C24" s="143" t="s">
        <v>133</v>
      </c>
      <c r="D24" s="143"/>
      <c r="E24" s="89" t="s">
        <v>145</v>
      </c>
      <c r="F24" s="89"/>
      <c r="G24" s="144">
        <v>17</v>
      </c>
      <c r="H24" s="144">
        <v>10</v>
      </c>
      <c r="I24" s="144">
        <v>15</v>
      </c>
      <c r="J24" s="143" t="s">
        <v>4</v>
      </c>
      <c r="K24" s="145">
        <v>17.510000000000002</v>
      </c>
      <c r="L24" s="146" t="s">
        <v>99</v>
      </c>
      <c r="O24" s="76" t="str">
        <f>IF(K24&gt;'Moors League'!D25,'Lane 1 Team Sheet'!D24,"X")</f>
        <v>X</v>
      </c>
      <c r="P24" s="76" t="str">
        <f>IF(K24&gt;'Moors League'!H25,'Lane 2 Team Sheet'!D24,"X")</f>
        <v>X</v>
      </c>
      <c r="Q24" s="76" t="str">
        <f>IF(K24&gt;'Moors League'!L25,'Lane 3 Team Sheet'!D24,"X")</f>
        <v>X</v>
      </c>
      <c r="R24" s="76" t="str">
        <f>IF(K24&gt;'Moors League'!P25,'Lane 4 Team Sheet'!D24,"X")</f>
        <v>X</v>
      </c>
    </row>
    <row r="25" spans="1:18" s="32" customFormat="1" ht="21.75" customHeight="1" x14ac:dyDescent="0.2">
      <c r="A25" s="143">
        <v>18</v>
      </c>
      <c r="B25" s="89" t="s">
        <v>124</v>
      </c>
      <c r="C25" s="143" t="s">
        <v>133</v>
      </c>
      <c r="D25" s="143"/>
      <c r="E25" s="89" t="s">
        <v>145</v>
      </c>
      <c r="F25" s="89"/>
      <c r="G25" s="144">
        <v>25</v>
      </c>
      <c r="H25" s="144">
        <v>6</v>
      </c>
      <c r="I25" s="144">
        <v>16</v>
      </c>
      <c r="J25" s="143" t="s">
        <v>4</v>
      </c>
      <c r="K25" s="145">
        <v>17.649999999999999</v>
      </c>
      <c r="L25" s="146" t="s">
        <v>167</v>
      </c>
      <c r="O25" s="76" t="str">
        <f>IF(K25&gt;'Moors League'!D26,'Lane 1 Team Sheet'!D25,"X")</f>
        <v>X</v>
      </c>
      <c r="P25" s="76" t="str">
        <f>IF(K25&gt;'Moors League'!H26,'Lane 2 Team Sheet'!D25,"X")</f>
        <v>X</v>
      </c>
      <c r="Q25" s="76" t="str">
        <f>IF(K25&gt;'Moors League'!L26,'Lane 3 Team Sheet'!D25,"X")</f>
        <v>X</v>
      </c>
      <c r="R25" s="76" t="str">
        <f>IF(K25&gt;'Moors League'!P26,'Lane 4 Team Sheet'!D25,"X")</f>
        <v>X</v>
      </c>
    </row>
    <row r="26" spans="1:18" s="32" customFormat="1" ht="21.75" customHeight="1" x14ac:dyDescent="0.2">
      <c r="A26" s="143">
        <v>19</v>
      </c>
      <c r="B26" s="89" t="s">
        <v>121</v>
      </c>
      <c r="C26" s="143" t="s">
        <v>130</v>
      </c>
      <c r="D26" s="143"/>
      <c r="E26" s="89" t="s">
        <v>127</v>
      </c>
      <c r="F26" s="89"/>
      <c r="G26" s="144">
        <v>14</v>
      </c>
      <c r="H26" s="144">
        <v>10</v>
      </c>
      <c r="I26" s="144">
        <v>6</v>
      </c>
      <c r="J26" s="143" t="s">
        <v>146</v>
      </c>
      <c r="K26" s="145">
        <v>31.01</v>
      </c>
      <c r="L26" s="146" t="s">
        <v>147</v>
      </c>
      <c r="O26" s="76" t="str">
        <f>IF(K26&gt;'Moors League'!D27,'Lane 1 Team Sheet'!D26,"X")</f>
        <v>X</v>
      </c>
      <c r="P26" s="76" t="str">
        <f>IF(K26&gt;'Moors League'!H27,'Lane 2 Team Sheet'!D26,"X")</f>
        <v>X</v>
      </c>
      <c r="Q26" s="76" t="str">
        <f>IF(K26&gt;'Moors League'!L27,'Lane 3 Team Sheet'!D26,"X")</f>
        <v>X</v>
      </c>
      <c r="R26" s="76" t="str">
        <f>IF(K26&gt;'Moors League'!P27,'Lane 4 Team Sheet'!D26,"X")</f>
        <v>X</v>
      </c>
    </row>
    <row r="27" spans="1:18" s="32" customFormat="1" ht="21.75" customHeight="1" x14ac:dyDescent="0.2">
      <c r="A27" s="143">
        <v>20</v>
      </c>
      <c r="B27" s="89" t="s">
        <v>124</v>
      </c>
      <c r="C27" s="143" t="s">
        <v>130</v>
      </c>
      <c r="D27" s="143"/>
      <c r="E27" s="89" t="s">
        <v>127</v>
      </c>
      <c r="F27" s="89"/>
      <c r="G27" s="144">
        <v>11</v>
      </c>
      <c r="H27" s="144">
        <v>10</v>
      </c>
      <c r="I27" s="144">
        <v>8</v>
      </c>
      <c r="J27" s="143" t="s">
        <v>128</v>
      </c>
      <c r="K27" s="145">
        <v>27.67</v>
      </c>
      <c r="L27" s="146" t="s">
        <v>132</v>
      </c>
      <c r="O27" s="76" t="str">
        <f>IF(K27&gt;'Moors League'!D28,'Lane 1 Team Sheet'!D27,"X")</f>
        <v>X</v>
      </c>
      <c r="P27" s="76" t="str">
        <f>IF(K27&gt;'Moors League'!H28,'Lane 2 Team Sheet'!D27,"X")</f>
        <v>X</v>
      </c>
      <c r="Q27" s="76" t="str">
        <f>IF(K27&gt;'Moors League'!L28,'Lane 3 Team Sheet'!D27,"X")</f>
        <v>X</v>
      </c>
      <c r="R27" s="76" t="str">
        <f>IF(K27&gt;'Moors League'!P28,'Lane 4 Team Sheet'!D27,"X")</f>
        <v>X</v>
      </c>
    </row>
    <row r="28" spans="1:18" s="32" customFormat="1" ht="21.75" customHeight="1" x14ac:dyDescent="0.2">
      <c r="A28" s="143">
        <v>21</v>
      </c>
      <c r="B28" s="89" t="s">
        <v>121</v>
      </c>
      <c r="C28" s="143" t="s">
        <v>126</v>
      </c>
      <c r="D28" s="143"/>
      <c r="E28" s="89" t="s">
        <v>148</v>
      </c>
      <c r="F28" s="89"/>
      <c r="G28" s="144">
        <v>4</v>
      </c>
      <c r="H28" s="144">
        <v>7</v>
      </c>
      <c r="I28" s="144">
        <v>9</v>
      </c>
      <c r="J28" s="143" t="s">
        <v>128</v>
      </c>
      <c r="K28" s="145">
        <v>29.73</v>
      </c>
      <c r="L28" s="146" t="s">
        <v>139</v>
      </c>
      <c r="O28" s="76" t="str">
        <f>IF(K28&gt;'Moors League'!D29,'Lane 1 Team Sheet'!D28,"X")</f>
        <v>X</v>
      </c>
      <c r="P28" s="76" t="str">
        <f>IF(K28&gt;'Moors League'!H29,'Lane 2 Team Sheet'!D28,"X")</f>
        <v>X</v>
      </c>
      <c r="Q28" s="76" t="str">
        <f>IF(K28&gt;'Moors League'!L29,'Lane 3 Team Sheet'!D28,"X")</f>
        <v>X</v>
      </c>
      <c r="R28" s="76" t="str">
        <f>IF(K28&gt;'Moors League'!P29,'Lane 4 Team Sheet'!D28,"X")</f>
        <v>X</v>
      </c>
    </row>
    <row r="29" spans="1:18" s="32" customFormat="1" ht="21.75" customHeight="1" x14ac:dyDescent="0.2">
      <c r="A29" s="143">
        <v>22</v>
      </c>
      <c r="B29" s="89" t="s">
        <v>124</v>
      </c>
      <c r="C29" s="143" t="s">
        <v>126</v>
      </c>
      <c r="D29" s="143"/>
      <c r="E29" s="89" t="s">
        <v>148</v>
      </c>
      <c r="F29" s="89"/>
      <c r="G29" s="144">
        <v>5</v>
      </c>
      <c r="H29" s="144">
        <v>10</v>
      </c>
      <c r="I29" s="144">
        <v>3</v>
      </c>
      <c r="J29" s="143" t="s">
        <v>128</v>
      </c>
      <c r="K29" s="145">
        <v>29.07</v>
      </c>
      <c r="L29" s="146" t="s">
        <v>129</v>
      </c>
      <c r="O29" s="76" t="str">
        <f>IF(K29&gt;'Moors League'!D30,'Lane 1 Team Sheet'!D29,"X")</f>
        <v>X</v>
      </c>
      <c r="P29" s="76" t="str">
        <f>IF(K29&gt;'Moors League'!H30,'Lane 2 Team Sheet'!D29,"X")</f>
        <v>X</v>
      </c>
      <c r="Q29" s="76" t="str">
        <f>IF(K29&gt;'Moors League'!L30,'Lane 3 Team Sheet'!D29,"X")</f>
        <v>X</v>
      </c>
      <c r="R29" s="76" t="str">
        <f>IF(K29&gt;'Moors League'!P30,'Lane 4 Team Sheet'!D29,"X")</f>
        <v>X</v>
      </c>
    </row>
    <row r="30" spans="1:18" s="32" customFormat="1" ht="21.75" customHeight="1" x14ac:dyDescent="0.2">
      <c r="A30" s="143">
        <v>23</v>
      </c>
      <c r="B30" s="89" t="s">
        <v>121</v>
      </c>
      <c r="C30" s="143" t="s">
        <v>122</v>
      </c>
      <c r="D30" s="143"/>
      <c r="E30" s="89" t="s">
        <v>131</v>
      </c>
      <c r="F30" s="89"/>
      <c r="G30" s="144">
        <v>9</v>
      </c>
      <c r="H30" s="144">
        <v>6</v>
      </c>
      <c r="I30" s="144">
        <v>1</v>
      </c>
      <c r="J30" s="143" t="s">
        <v>146</v>
      </c>
      <c r="K30" s="145">
        <v>34.76</v>
      </c>
      <c r="L30" s="146" t="s">
        <v>149</v>
      </c>
      <c r="O30" s="76" t="str">
        <f>IF(K30&gt;'Moors League'!D31,'Lane 1 Team Sheet'!D30,"X")</f>
        <v>X</v>
      </c>
      <c r="P30" s="76" t="str">
        <f>IF(K30&gt;'Moors League'!H31,'Lane 2 Team Sheet'!D30,"X")</f>
        <v>X</v>
      </c>
      <c r="Q30" s="76" t="str">
        <f>IF(K30&gt;'Moors League'!L31,'Lane 3 Team Sheet'!D30,"X")</f>
        <v>X</v>
      </c>
      <c r="R30" s="76" t="str">
        <f>IF(K30&gt;'Moors League'!P31,'Lane 4 Team Sheet'!D30,"X")</f>
        <v>X</v>
      </c>
    </row>
    <row r="31" spans="1:18" s="32" customFormat="1" ht="21.75" customHeight="1" x14ac:dyDescent="0.2">
      <c r="A31" s="143">
        <v>24</v>
      </c>
      <c r="B31" s="89" t="s">
        <v>124</v>
      </c>
      <c r="C31" s="143" t="s">
        <v>122</v>
      </c>
      <c r="D31" s="143"/>
      <c r="E31" s="89" t="s">
        <v>131</v>
      </c>
      <c r="F31" s="89"/>
      <c r="G31" s="144">
        <v>3</v>
      </c>
      <c r="H31" s="144">
        <v>6</v>
      </c>
      <c r="I31" s="144">
        <v>23</v>
      </c>
      <c r="J31" s="143" t="s">
        <v>150</v>
      </c>
      <c r="K31" s="418">
        <v>30.52</v>
      </c>
      <c r="L31" s="146" t="s">
        <v>179</v>
      </c>
      <c r="O31" s="76" t="str">
        <f>IF(K31&gt;'Moors League'!D32,'Lane 1 Team Sheet'!D31,"X")</f>
        <v>X</v>
      </c>
      <c r="P31" s="76" t="str">
        <f>IF(K31&gt;'Moors League'!H32,'Lane 2 Team Sheet'!D31,"X")</f>
        <v>X</v>
      </c>
      <c r="Q31" s="76" t="str">
        <f>IF(K31&gt;'Moors League'!L32,'Lane 3 Team Sheet'!D31,"X")</f>
        <v>X</v>
      </c>
      <c r="R31" s="76" t="str">
        <f>IF(K31&gt;'Moors League'!P32,'Lane 4 Team Sheet'!D31,"X")</f>
        <v>X</v>
      </c>
    </row>
    <row r="32" spans="1:18" s="32" customFormat="1" ht="21.75" customHeight="1" x14ac:dyDescent="0.2">
      <c r="A32" s="143">
        <v>25</v>
      </c>
      <c r="B32" s="89" t="s">
        <v>121</v>
      </c>
      <c r="C32" s="143" t="s">
        <v>138</v>
      </c>
      <c r="D32" s="143" t="s">
        <v>221</v>
      </c>
      <c r="E32" s="89" t="s">
        <v>140</v>
      </c>
      <c r="F32" s="89"/>
      <c r="G32" s="144">
        <v>21</v>
      </c>
      <c r="H32" s="144">
        <v>4</v>
      </c>
      <c r="I32" s="144">
        <v>18</v>
      </c>
      <c r="J32" s="143" t="s">
        <v>5</v>
      </c>
      <c r="K32" s="145" t="s">
        <v>176</v>
      </c>
      <c r="L32" s="146"/>
      <c r="O32" s="76" t="str">
        <f>IF(K32&gt;'Moors League'!D33,"RECORD","X")</f>
        <v>X</v>
      </c>
      <c r="P32" s="76" t="str">
        <f>IF(K32&gt;'Moors League'!H33,"RECORD","X")</f>
        <v>X</v>
      </c>
      <c r="Q32" s="76" t="str">
        <f>IF(K32&gt;'Moors League'!L33,"RECORD","X")</f>
        <v>X</v>
      </c>
      <c r="R32" s="76" t="str">
        <f>IF(K32&gt;'Moors League'!P33,"RECORD","X")</f>
        <v>X</v>
      </c>
    </row>
    <row r="33" spans="1:18" s="32" customFormat="1" ht="21.75" customHeight="1" x14ac:dyDescent="0.2">
      <c r="A33" s="143">
        <v>25</v>
      </c>
      <c r="B33" s="89" t="s">
        <v>121</v>
      </c>
      <c r="C33" s="143" t="s">
        <v>138</v>
      </c>
      <c r="D33" s="143" t="s">
        <v>222</v>
      </c>
      <c r="E33" s="89" t="s">
        <v>140</v>
      </c>
      <c r="F33" s="89"/>
      <c r="G33" s="144">
        <v>20</v>
      </c>
      <c r="H33" s="144">
        <v>5</v>
      </c>
      <c r="I33" s="144">
        <v>23</v>
      </c>
      <c r="J33" s="143" t="s">
        <v>150</v>
      </c>
      <c r="K33" s="450" t="s">
        <v>299</v>
      </c>
      <c r="L33" s="149"/>
      <c r="O33" s="76" t="str">
        <f>IF(K33&gt;'Moors League'!D33,"RECORD","X")</f>
        <v>X</v>
      </c>
      <c r="P33" s="76" t="str">
        <f>IF(K33&gt;'Moors League'!H33,"RECORD","X")</f>
        <v>X</v>
      </c>
      <c r="Q33" s="76" t="str">
        <f>IF(K33&gt;'Moors League'!L33,"RECORD","X")</f>
        <v>X</v>
      </c>
      <c r="R33" s="76" t="str">
        <f>IF(K33&gt;'Moors League'!P33,"RECORD","X")</f>
        <v>X</v>
      </c>
    </row>
    <row r="34" spans="1:18" s="32" customFormat="1" ht="21.75" customHeight="1" x14ac:dyDescent="0.2">
      <c r="A34" s="143">
        <v>26</v>
      </c>
      <c r="B34" s="89" t="s">
        <v>124</v>
      </c>
      <c r="C34" s="143" t="s">
        <v>138</v>
      </c>
      <c r="D34" s="143" t="s">
        <v>221</v>
      </c>
      <c r="E34" s="89" t="s">
        <v>140</v>
      </c>
      <c r="F34" s="89"/>
      <c r="G34" s="144">
        <v>25</v>
      </c>
      <c r="H34" s="144">
        <v>6</v>
      </c>
      <c r="I34" s="144">
        <v>16</v>
      </c>
      <c r="J34" s="143" t="s">
        <v>6</v>
      </c>
      <c r="K34" s="145">
        <v>59.3</v>
      </c>
      <c r="L34" s="149"/>
      <c r="O34" s="76" t="str">
        <f>IF(K34&gt;'Moors League'!D34,"RECORD","X")</f>
        <v>X</v>
      </c>
      <c r="P34" s="76" t="str">
        <f>IF(K34&gt;'Moors League'!H34,"RECORD","X")</f>
        <v>X</v>
      </c>
      <c r="Q34" s="76" t="str">
        <f>IF(K34&gt;'Moors League'!L34,"RECORD","X")</f>
        <v>X</v>
      </c>
      <c r="R34" s="76" t="str">
        <f>IF(K34&gt;'Moors League'!P34,"RECORD","X")</f>
        <v>X</v>
      </c>
    </row>
    <row r="35" spans="1:18" s="32" customFormat="1" ht="21.75" customHeight="1" x14ac:dyDescent="0.2">
      <c r="A35" s="143">
        <v>26</v>
      </c>
      <c r="B35" s="89" t="s">
        <v>124</v>
      </c>
      <c r="C35" s="143" t="s">
        <v>138</v>
      </c>
      <c r="D35" s="143" t="s">
        <v>222</v>
      </c>
      <c r="E35" s="89" t="s">
        <v>140</v>
      </c>
      <c r="F35" s="89"/>
      <c r="G35" s="144">
        <v>20</v>
      </c>
      <c r="H35" s="144">
        <v>5</v>
      </c>
      <c r="I35" s="144">
        <v>23</v>
      </c>
      <c r="J35" s="143" t="s">
        <v>6</v>
      </c>
      <c r="K35" s="450" t="s">
        <v>300</v>
      </c>
      <c r="L35" s="149"/>
      <c r="O35" s="76" t="str">
        <f>IF(K35&gt;'Moors League'!D34,"RECORD","X")</f>
        <v>X</v>
      </c>
      <c r="P35" s="76" t="str">
        <f>IF(K35&gt;'Moors League'!H34,"RECORD","X")</f>
        <v>X</v>
      </c>
      <c r="Q35" s="76" t="str">
        <f>IF(K35&gt;'Moors League'!L34,"RECORD","X")</f>
        <v>X</v>
      </c>
      <c r="R35" s="76" t="str">
        <f>IF(K35&gt;'Moors League'!P34,"RECORD","X")</f>
        <v>X</v>
      </c>
    </row>
    <row r="36" spans="1:18" s="32" customFormat="1" ht="21.75" customHeight="1" x14ac:dyDescent="0.2">
      <c r="A36" s="143">
        <v>27</v>
      </c>
      <c r="B36" s="89" t="s">
        <v>121</v>
      </c>
      <c r="C36" s="143" t="s">
        <v>151</v>
      </c>
      <c r="D36" s="143" t="s">
        <v>221</v>
      </c>
      <c r="E36" s="89" t="s">
        <v>142</v>
      </c>
      <c r="F36" s="89"/>
      <c r="G36" s="144">
        <v>25</v>
      </c>
      <c r="H36" s="144">
        <v>6</v>
      </c>
      <c r="I36" s="144">
        <v>16</v>
      </c>
      <c r="J36" s="143" t="s">
        <v>6</v>
      </c>
      <c r="K36" s="145" t="s">
        <v>170</v>
      </c>
      <c r="L36" s="149"/>
      <c r="O36" s="76" t="str">
        <f>IF(K36&gt;'Moors League'!D35,"RECORD","X")</f>
        <v>X</v>
      </c>
      <c r="P36" s="76" t="str">
        <f>IF(K36&gt;'Moors League'!H35,"RECORD","X")</f>
        <v>X</v>
      </c>
      <c r="Q36" s="76" t="str">
        <f>IF(K36&gt;'Moors League'!L35,"RECORD","X")</f>
        <v>X</v>
      </c>
      <c r="R36" s="76" t="str">
        <f>IF(K36&gt;'Moors League'!P35,"RECORD","X")</f>
        <v>X</v>
      </c>
    </row>
    <row r="37" spans="1:18" s="32" customFormat="1" ht="21.75" customHeight="1" x14ac:dyDescent="0.2">
      <c r="A37" s="143">
        <v>28</v>
      </c>
      <c r="B37" s="89" t="s">
        <v>124</v>
      </c>
      <c r="C37" s="143" t="s">
        <v>151</v>
      </c>
      <c r="D37" s="143" t="s">
        <v>221</v>
      </c>
      <c r="E37" s="89" t="s">
        <v>142</v>
      </c>
      <c r="F37" s="89"/>
      <c r="G37" s="144">
        <v>12</v>
      </c>
      <c r="H37" s="144">
        <v>1</v>
      </c>
      <c r="I37" s="144">
        <v>13</v>
      </c>
      <c r="J37" s="143" t="s">
        <v>128</v>
      </c>
      <c r="K37" s="145" t="s">
        <v>152</v>
      </c>
      <c r="L37" s="146"/>
      <c r="O37" s="76" t="str">
        <f>IF(K37&gt;'Moors League'!D36,"RECORD","X")</f>
        <v>X</v>
      </c>
      <c r="P37" s="76" t="str">
        <f>IF(K37&gt;'Moors League'!H36,"RECORD","X")</f>
        <v>X</v>
      </c>
      <c r="Q37" s="76" t="str">
        <f>IF(K37&gt;'Moors League'!L36,"RECORD","X")</f>
        <v>X</v>
      </c>
      <c r="R37" s="76" t="str">
        <f>IF(K37&gt;'Moors League'!P36,"RECORD","X")</f>
        <v>X</v>
      </c>
    </row>
    <row r="38" spans="1:18" s="32" customFormat="1" ht="21.75" customHeight="1" x14ac:dyDescent="0.2">
      <c r="A38" s="147">
        <v>29</v>
      </c>
      <c r="B38" s="99" t="s">
        <v>121</v>
      </c>
      <c r="C38" s="147" t="s">
        <v>130</v>
      </c>
      <c r="D38" s="143" t="s">
        <v>221</v>
      </c>
      <c r="E38" s="99" t="s">
        <v>140</v>
      </c>
      <c r="F38" s="99"/>
      <c r="G38" s="144">
        <v>18</v>
      </c>
      <c r="H38" s="144">
        <v>3</v>
      </c>
      <c r="I38" s="144">
        <v>17</v>
      </c>
      <c r="J38" s="143" t="s">
        <v>150</v>
      </c>
      <c r="K38" s="145" t="s">
        <v>171</v>
      </c>
      <c r="L38" s="146"/>
      <c r="O38" s="76" t="str">
        <f>IF(K38&gt;'Moors League'!D37,"RECORD","X")</f>
        <v>X</v>
      </c>
      <c r="P38" s="76" t="str">
        <f>IF(K38&gt;'Moors League'!H37,"RECORD","X")</f>
        <v>X</v>
      </c>
      <c r="Q38" s="76" t="str">
        <f>IF(K38&gt;'Moors League'!L37,"RECORD","X")</f>
        <v>X</v>
      </c>
      <c r="R38" s="76" t="str">
        <f>IF(K38&gt;'Moors League'!P37,"RECORD","X")</f>
        <v>X</v>
      </c>
    </row>
    <row r="39" spans="1:18" s="32" customFormat="1" ht="21.75" customHeight="1" x14ac:dyDescent="0.2">
      <c r="A39" s="147">
        <v>29</v>
      </c>
      <c r="B39" s="99" t="s">
        <v>121</v>
      </c>
      <c r="C39" s="147" t="s">
        <v>130</v>
      </c>
      <c r="D39" s="143" t="s">
        <v>222</v>
      </c>
      <c r="E39" s="99" t="s">
        <v>140</v>
      </c>
      <c r="F39" s="99"/>
      <c r="G39" s="144">
        <v>14</v>
      </c>
      <c r="H39" s="144">
        <v>5</v>
      </c>
      <c r="I39" s="144">
        <v>22</v>
      </c>
      <c r="J39" s="143" t="s">
        <v>150</v>
      </c>
      <c r="K39" s="145" t="s">
        <v>211</v>
      </c>
      <c r="L39" s="146"/>
      <c r="O39" s="76" t="str">
        <f>IF(K39&gt;'Moors League'!D37,"RECORD","X")</f>
        <v>X</v>
      </c>
      <c r="P39" s="76" t="str">
        <f>IF(K39&gt;'Moors League'!H37,"RECORD","X")</f>
        <v>X</v>
      </c>
      <c r="Q39" s="76" t="str">
        <f>IF(K39&gt;'Moors League'!L37,"RECORD","X")</f>
        <v>X</v>
      </c>
      <c r="R39" s="76" t="str">
        <f>IF(K39&gt;'Moors League'!P37,"RECORD","X")</f>
        <v>X</v>
      </c>
    </row>
    <row r="40" spans="1:18" s="32" customFormat="1" ht="21.75" customHeight="1" x14ac:dyDescent="0.2">
      <c r="A40" s="143">
        <v>30</v>
      </c>
      <c r="B40" s="89" t="s">
        <v>124</v>
      </c>
      <c r="C40" s="143" t="s">
        <v>130</v>
      </c>
      <c r="D40" s="143" t="s">
        <v>221</v>
      </c>
      <c r="E40" s="89" t="s">
        <v>140</v>
      </c>
      <c r="F40" s="89"/>
      <c r="G40" s="144">
        <v>18</v>
      </c>
      <c r="H40" s="144">
        <v>1</v>
      </c>
      <c r="I40" s="144">
        <v>20</v>
      </c>
      <c r="J40" s="143" t="s">
        <v>128</v>
      </c>
      <c r="K40" s="145">
        <v>56.85</v>
      </c>
      <c r="L40" s="146"/>
      <c r="O40" s="76" t="str">
        <f>IF(K40&gt;'Moors League'!D38,"RECORD","X")</f>
        <v>X</v>
      </c>
      <c r="P40" s="76" t="str">
        <f>IF(K40&gt;'Moors League'!H38,"RECORD","X")</f>
        <v>X</v>
      </c>
      <c r="Q40" s="76" t="str">
        <f>IF(K40&gt;'Moors League'!L38,"RECORD","X")</f>
        <v>X</v>
      </c>
      <c r="R40" s="76" t="str">
        <f>IF(K40&gt;'Moors League'!P38,"RECORD","X")</f>
        <v>X</v>
      </c>
    </row>
    <row r="41" spans="1:18" s="32" customFormat="1" ht="21.75" customHeight="1" x14ac:dyDescent="0.2">
      <c r="A41" s="143">
        <v>30</v>
      </c>
      <c r="B41" s="89" t="s">
        <v>124</v>
      </c>
      <c r="C41" s="143" t="s">
        <v>130</v>
      </c>
      <c r="D41" s="143" t="s">
        <v>222</v>
      </c>
      <c r="E41" s="89" t="s">
        <v>140</v>
      </c>
      <c r="F41" s="89"/>
      <c r="G41" s="144">
        <v>14</v>
      </c>
      <c r="H41" s="144">
        <v>5</v>
      </c>
      <c r="I41" s="144">
        <v>22</v>
      </c>
      <c r="J41" s="143" t="s">
        <v>6</v>
      </c>
      <c r="K41" s="145" t="s">
        <v>212</v>
      </c>
      <c r="L41" s="146"/>
      <c r="O41" s="76" t="str">
        <f>IF(K41&gt;'Moors League'!D38,"RECORD","X")</f>
        <v>X</v>
      </c>
      <c r="P41" s="76" t="str">
        <f>IF(K41&gt;'Moors League'!H38,"RECORD","X")</f>
        <v>X</v>
      </c>
      <c r="Q41" s="76" t="str">
        <f>IF(K41&gt;'Moors League'!L38,"RECORD","X")</f>
        <v>X</v>
      </c>
      <c r="R41" s="76" t="str">
        <f>IF(K41&gt;'Moors League'!P38,"RECORD","X")</f>
        <v>X</v>
      </c>
    </row>
    <row r="42" spans="1:18" s="32" customFormat="1" ht="21.75" customHeight="1" x14ac:dyDescent="0.2">
      <c r="A42" s="143">
        <v>31</v>
      </c>
      <c r="B42" s="89" t="s">
        <v>121</v>
      </c>
      <c r="C42" s="143" t="s">
        <v>122</v>
      </c>
      <c r="D42" s="143"/>
      <c r="E42" s="89" t="s">
        <v>127</v>
      </c>
      <c r="F42" s="89"/>
      <c r="G42" s="144">
        <v>28</v>
      </c>
      <c r="H42" s="144">
        <v>6</v>
      </c>
      <c r="I42" s="144">
        <v>14</v>
      </c>
      <c r="J42" s="143" t="s">
        <v>5</v>
      </c>
      <c r="K42" s="145">
        <v>31.36</v>
      </c>
      <c r="L42" s="146" t="s">
        <v>115</v>
      </c>
      <c r="O42" s="76" t="str">
        <f>IF(K42&gt;'Moors League'!D39,'Lane 1 Team Sheet'!D44,"X")</f>
        <v>X</v>
      </c>
      <c r="P42" s="76" t="str">
        <f>IF(K42&gt;'Moors League'!H39,'Lane 2 Team Sheet'!D44,"X")</f>
        <v>X</v>
      </c>
      <c r="Q42" s="76" t="str">
        <f>IF(K42&gt;'Moors League'!L39,'Lane 3 Team Sheet'!D44,"X")</f>
        <v>X</v>
      </c>
      <c r="R42" s="76" t="str">
        <f>IF(K42&gt;'Moors League'!P39,'Lane 4 Team Sheet'!D44,"X")</f>
        <v>X</v>
      </c>
    </row>
    <row r="43" spans="1:18" s="32" customFormat="1" ht="21.75" customHeight="1" x14ac:dyDescent="0.2">
      <c r="A43" s="143">
        <v>32</v>
      </c>
      <c r="B43" s="89" t="s">
        <v>124</v>
      </c>
      <c r="C43" s="143" t="s">
        <v>122</v>
      </c>
      <c r="D43" s="143"/>
      <c r="E43" s="89" t="s">
        <v>127</v>
      </c>
      <c r="F43" s="89"/>
      <c r="G43" s="144">
        <v>15</v>
      </c>
      <c r="H43" s="144">
        <v>6</v>
      </c>
      <c r="I43" s="144">
        <v>13</v>
      </c>
      <c r="J43" s="150" t="s">
        <v>137</v>
      </c>
      <c r="K43" s="145">
        <v>26.75</v>
      </c>
      <c r="L43" s="151" t="s">
        <v>125</v>
      </c>
      <c r="O43" s="76" t="str">
        <f>IF(K43&gt;'Moors League'!D40,'Lane 1 Team Sheet'!D45,"X")</f>
        <v>X</v>
      </c>
      <c r="P43" s="76" t="str">
        <f>IF(K43&gt;'Moors League'!H40,'Lane 2 Team Sheet'!D45,"X")</f>
        <v>X</v>
      </c>
      <c r="Q43" s="76" t="str">
        <f>IF(K43&gt;'Moors League'!L40,'Lane 3 Team Sheet'!D45,"X")</f>
        <v>X</v>
      </c>
      <c r="R43" s="76" t="str">
        <f>IF(K43&gt;'Moors League'!P40,'Lane 4 Team Sheet'!D45,"X")</f>
        <v>X</v>
      </c>
    </row>
    <row r="44" spans="1:18" s="32" customFormat="1" ht="21.75" customHeight="1" x14ac:dyDescent="0.2">
      <c r="A44" s="143">
        <v>33</v>
      </c>
      <c r="B44" s="89" t="s">
        <v>121</v>
      </c>
      <c r="C44" s="143" t="s">
        <v>126</v>
      </c>
      <c r="D44" s="143"/>
      <c r="E44" s="89" t="s">
        <v>123</v>
      </c>
      <c r="F44" s="89"/>
      <c r="G44" s="144">
        <v>6</v>
      </c>
      <c r="H44" s="144">
        <v>10</v>
      </c>
      <c r="I44" s="144">
        <v>12</v>
      </c>
      <c r="J44" s="143" t="s">
        <v>6</v>
      </c>
      <c r="K44" s="145">
        <v>34.619999999999997</v>
      </c>
      <c r="L44" s="146" t="s">
        <v>117</v>
      </c>
      <c r="O44" s="76" t="str">
        <f>IF(K44&gt;'Moors League'!D41,'Lane 1 Team Sheet'!D46,"X")</f>
        <v>X</v>
      </c>
      <c r="P44" s="76" t="str">
        <f>IF(K44&gt;'Moors League'!H41,'Lane 2 Team Sheet'!D46,"X")</f>
        <v>X</v>
      </c>
      <c r="Q44" s="76" t="str">
        <f>IF(K44&gt;'Moors League'!L41,'Lane 3 Team Sheet'!D46,"X")</f>
        <v>X</v>
      </c>
      <c r="R44" s="76" t="str">
        <f>IF(K44&gt;'Moors League'!P41,'Lane 4 Team Sheet'!D46,"X")</f>
        <v>X</v>
      </c>
    </row>
    <row r="45" spans="1:18" s="32" customFormat="1" ht="21.75" customHeight="1" x14ac:dyDescent="0.2">
      <c r="A45" s="143">
        <v>34</v>
      </c>
      <c r="B45" s="89" t="s">
        <v>124</v>
      </c>
      <c r="C45" s="143" t="s">
        <v>126</v>
      </c>
      <c r="D45" s="143"/>
      <c r="E45" s="89" t="s">
        <v>123</v>
      </c>
      <c r="F45" s="89"/>
      <c r="G45" s="144">
        <v>14</v>
      </c>
      <c r="H45" s="144">
        <v>10</v>
      </c>
      <c r="I45" s="144">
        <v>6</v>
      </c>
      <c r="J45" s="143" t="s">
        <v>146</v>
      </c>
      <c r="K45" s="145">
        <v>34.86</v>
      </c>
      <c r="L45" s="146" t="s">
        <v>153</v>
      </c>
      <c r="O45" s="76" t="str">
        <f>IF(K45&gt;'Moors League'!D42,'Lane 1 Team Sheet'!D47,"X")</f>
        <v>X</v>
      </c>
      <c r="P45" s="76" t="str">
        <f>IF(K45&gt;'Moors League'!H42,'Lane 2 Team Sheet'!D47,"X")</f>
        <v>X</v>
      </c>
      <c r="Q45" s="76" t="str">
        <f>IF(K45&gt;'Moors League'!L42,'Lane 3 Team Sheet'!D47,"X")</f>
        <v>X</v>
      </c>
      <c r="R45" s="76" t="str">
        <f>IF(K45&gt;'Moors League'!P42,'Lane 4 Team Sheet'!D47,"X")</f>
        <v>X</v>
      </c>
    </row>
    <row r="46" spans="1:18" s="32" customFormat="1" ht="21.75" customHeight="1" x14ac:dyDescent="0.2">
      <c r="A46" s="143">
        <v>35</v>
      </c>
      <c r="B46" s="89" t="s">
        <v>121</v>
      </c>
      <c r="C46" s="143" t="s">
        <v>130</v>
      </c>
      <c r="D46" s="143"/>
      <c r="E46" s="89" t="s">
        <v>148</v>
      </c>
      <c r="F46" s="89"/>
      <c r="G46" s="144">
        <v>5</v>
      </c>
      <c r="H46" s="144">
        <v>10</v>
      </c>
      <c r="I46" s="144">
        <v>13</v>
      </c>
      <c r="J46" s="143" t="s">
        <v>128</v>
      </c>
      <c r="K46" s="145">
        <v>27.22</v>
      </c>
      <c r="L46" s="146" t="s">
        <v>139</v>
      </c>
      <c r="O46" s="76" t="str">
        <f>IF(K46&gt;'Moors League'!D43,'Lane 1 Team Sheet'!D48,"X")</f>
        <v>X</v>
      </c>
      <c r="P46" s="76" t="str">
        <f>IF(K46&gt;'Moors League'!H43,'Lane 2 Team Sheet'!D48,"X")</f>
        <v>X</v>
      </c>
      <c r="Q46" s="76" t="str">
        <f>IF(K46&gt;'Moors League'!L43,'Lane 3 Team Sheet'!D48,"X")</f>
        <v>X</v>
      </c>
      <c r="R46" s="76" t="str">
        <f>IF(K46&gt;'Moors League'!P43,'Lane 4 Team Sheet'!D48,"X")</f>
        <v>X</v>
      </c>
    </row>
    <row r="47" spans="1:18" s="32" customFormat="1" ht="21.75" customHeight="1" x14ac:dyDescent="0.2">
      <c r="A47" s="143">
        <v>36</v>
      </c>
      <c r="B47" s="89" t="s">
        <v>124</v>
      </c>
      <c r="C47" s="143" t="s">
        <v>130</v>
      </c>
      <c r="D47" s="143"/>
      <c r="E47" s="89" t="s">
        <v>148</v>
      </c>
      <c r="F47" s="89"/>
      <c r="G47" s="144">
        <v>5</v>
      </c>
      <c r="H47" s="144">
        <v>7</v>
      </c>
      <c r="I47" s="144">
        <v>8</v>
      </c>
      <c r="J47" s="143" t="s">
        <v>128</v>
      </c>
      <c r="K47" s="145">
        <v>24.7</v>
      </c>
      <c r="L47" s="146" t="s">
        <v>132</v>
      </c>
      <c r="O47" s="76" t="str">
        <f>IF(K47&gt;'Moors League'!D44,'Lane 1 Team Sheet'!D49,"X")</f>
        <v>X</v>
      </c>
      <c r="P47" s="76" t="str">
        <f>IF(K47&gt;'Moors League'!H44,'Lane 2 Team Sheet'!D49,"X")</f>
        <v>X</v>
      </c>
      <c r="Q47" s="76" t="str">
        <f>IF(K47&gt;'Moors League'!L44,'Lane 3 Team Sheet'!D49,"X")</f>
        <v>X</v>
      </c>
      <c r="R47" s="76" t="str">
        <f>IF(K47&gt;'Moors League'!P44,'Lane 4 Team Sheet'!D49,"X")</f>
        <v>X</v>
      </c>
    </row>
    <row r="48" spans="1:18" s="37" customFormat="1" ht="21.75" customHeight="1" x14ac:dyDescent="0.25">
      <c r="A48" s="143">
        <v>37</v>
      </c>
      <c r="B48" s="89" t="s">
        <v>121</v>
      </c>
      <c r="C48" s="143" t="s">
        <v>133</v>
      </c>
      <c r="D48" s="143"/>
      <c r="E48" s="89" t="s">
        <v>154</v>
      </c>
      <c r="F48" s="89"/>
      <c r="G48" s="144">
        <v>5</v>
      </c>
      <c r="H48" s="144">
        <v>7</v>
      </c>
      <c r="I48" s="144">
        <v>3</v>
      </c>
      <c r="J48" s="143" t="s">
        <v>146</v>
      </c>
      <c r="K48" s="145">
        <v>20.38</v>
      </c>
      <c r="L48" s="146" t="s">
        <v>155</v>
      </c>
      <c r="O48" s="76" t="str">
        <f>IF(K48&gt;'Moors League'!D45,'Lane 1 Team Sheet'!D50,"X")</f>
        <v>X</v>
      </c>
      <c r="P48" s="76" t="str">
        <f>IF(K48&gt;'Moors League'!H45,'Lane 2 Team Sheet'!D50,"X")</f>
        <v>X</v>
      </c>
      <c r="Q48" s="76" t="str">
        <f>IF(K48&gt;'Moors League'!L45,'Lane 3 Team Sheet'!D50,"X")</f>
        <v>X</v>
      </c>
      <c r="R48" s="76" t="str">
        <f>IF(K48&gt;'Moors League'!P45,'Lane 4 Team Sheet'!D50,"X")</f>
        <v>X</v>
      </c>
    </row>
    <row r="49" spans="1:18" s="37" customFormat="1" ht="21.75" customHeight="1" x14ac:dyDescent="0.25">
      <c r="A49" s="143">
        <v>38</v>
      </c>
      <c r="B49" s="89" t="s">
        <v>124</v>
      </c>
      <c r="C49" s="143" t="s">
        <v>133</v>
      </c>
      <c r="D49" s="143"/>
      <c r="E49" s="89" t="s">
        <v>154</v>
      </c>
      <c r="F49" s="89"/>
      <c r="G49" s="144">
        <v>5</v>
      </c>
      <c r="H49" s="144">
        <v>10</v>
      </c>
      <c r="I49" s="144">
        <v>3</v>
      </c>
      <c r="J49" s="143" t="s">
        <v>137</v>
      </c>
      <c r="K49" s="145">
        <v>19.809999999999999</v>
      </c>
      <c r="L49" s="146" t="s">
        <v>156</v>
      </c>
      <c r="O49" s="76" t="str">
        <f>IF(K49&gt;'Moors League'!D46,'Lane 1 Team Sheet'!D51,"X")</f>
        <v>X</v>
      </c>
      <c r="P49" s="76" t="str">
        <f>IF(K49&gt;'Moors League'!H46,'Lane 2 Team Sheet'!D51,"X")</f>
        <v>X</v>
      </c>
      <c r="Q49" s="76" t="str">
        <f>IF(K49&gt;'Moors League'!L46,'Lane 3 Team Sheet'!D51,"X")</f>
        <v>X</v>
      </c>
      <c r="R49" s="76" t="str">
        <f>IF(K49&gt;'Moors League'!P46,'Lane 4 Team Sheet'!D51,"X")</f>
        <v>X</v>
      </c>
    </row>
    <row r="50" spans="1:18" s="37" customFormat="1" ht="21.75" customHeight="1" x14ac:dyDescent="0.25">
      <c r="A50" s="143">
        <v>39</v>
      </c>
      <c r="B50" s="89" t="s">
        <v>121</v>
      </c>
      <c r="C50" s="143" t="s">
        <v>138</v>
      </c>
      <c r="D50" s="143"/>
      <c r="E50" s="89" t="s">
        <v>127</v>
      </c>
      <c r="F50" s="89"/>
      <c r="G50" s="144">
        <v>3</v>
      </c>
      <c r="H50" s="144">
        <v>6</v>
      </c>
      <c r="I50" s="144">
        <v>23</v>
      </c>
      <c r="J50" s="143" t="s">
        <v>150</v>
      </c>
      <c r="K50" s="418">
        <v>31.6</v>
      </c>
      <c r="L50" s="146" t="s">
        <v>237</v>
      </c>
      <c r="O50" s="76" t="str">
        <f>IF(K50&gt;'Moors League'!D47,'Lane 1 Team Sheet'!D52,"X")</f>
        <v>X</v>
      </c>
      <c r="P50" s="76" t="str">
        <f>IF(K50&gt;'Moors League'!H47,'Lane 2 Team Sheet'!D52,"X")</f>
        <v>X</v>
      </c>
      <c r="Q50" s="76" t="str">
        <f>IF(K50&gt;'Moors League'!L47,'Lane 3 Team Sheet'!D52,"X")</f>
        <v>X</v>
      </c>
      <c r="R50" s="76" t="str">
        <f>IF(K50&gt;'Moors League'!P47,'Lane 4 Team Sheet'!D52,"X")</f>
        <v>X</v>
      </c>
    </row>
    <row r="51" spans="1:18" s="37" customFormat="1" ht="21.75" customHeight="1" x14ac:dyDescent="0.25">
      <c r="A51" s="143">
        <v>40</v>
      </c>
      <c r="B51" s="89" t="s">
        <v>124</v>
      </c>
      <c r="C51" s="143" t="s">
        <v>138</v>
      </c>
      <c r="D51" s="143"/>
      <c r="E51" s="89" t="s">
        <v>127</v>
      </c>
      <c r="F51" s="89"/>
      <c r="G51" s="144">
        <v>18</v>
      </c>
      <c r="H51" s="144">
        <v>1</v>
      </c>
      <c r="I51" s="144">
        <v>14</v>
      </c>
      <c r="J51" s="143" t="s">
        <v>5</v>
      </c>
      <c r="K51" s="145">
        <v>29.78</v>
      </c>
      <c r="L51" s="146" t="s">
        <v>116</v>
      </c>
      <c r="O51" s="76" t="str">
        <f>IF(K51&gt;'Moors League'!D48,'Lane 1 Team Sheet'!D53,"X")</f>
        <v>X</v>
      </c>
      <c r="P51" s="76" t="str">
        <f>IF(K51&gt;'Moors League'!H48,'Lane 2 Team Sheet'!D53,"X")</f>
        <v>X</v>
      </c>
      <c r="Q51" s="76" t="str">
        <f>IF(K51&gt;'Moors League'!L48,'Lane 3 Team Sheet'!D53,"X")</f>
        <v>X</v>
      </c>
      <c r="R51" s="76" t="str">
        <f>IF(K51&gt;'Moors League'!P48,'Lane 4 Team Sheet'!D53,"X")</f>
        <v>X</v>
      </c>
    </row>
    <row r="52" spans="1:18" s="37" customFormat="1" ht="21.75" customHeight="1" x14ac:dyDescent="0.25">
      <c r="A52" s="143">
        <v>41</v>
      </c>
      <c r="B52" s="89" t="s">
        <v>121</v>
      </c>
      <c r="C52" s="143" t="s">
        <v>122</v>
      </c>
      <c r="D52" s="143" t="s">
        <v>221</v>
      </c>
      <c r="E52" s="89" t="s">
        <v>142</v>
      </c>
      <c r="F52" s="89"/>
      <c r="G52" s="144">
        <v>6</v>
      </c>
      <c r="H52" s="144">
        <v>7</v>
      </c>
      <c r="I52" s="144">
        <v>19</v>
      </c>
      <c r="J52" s="143" t="s">
        <v>5</v>
      </c>
      <c r="K52" s="145">
        <v>54.37</v>
      </c>
      <c r="L52" s="146"/>
      <c r="O52" s="76" t="str">
        <f>IF(K52&gt;'Moors League'!D49,"RECORD","X")</f>
        <v>X</v>
      </c>
      <c r="P52" s="76" t="str">
        <f>IF(K52&gt;'Moors League'!H49,"RECORD","X")</f>
        <v>X</v>
      </c>
      <c r="Q52" s="76" t="str">
        <f>IF(K52&gt;'Moors League'!L49,"RECORD","X")</f>
        <v>X</v>
      </c>
      <c r="R52" s="76" t="str">
        <f>IF(K52&gt;'Moors League'!P49,"RECORD","X")</f>
        <v>X</v>
      </c>
    </row>
    <row r="53" spans="1:18" s="37" customFormat="1" ht="21.75" customHeight="1" x14ac:dyDescent="0.25">
      <c r="A53" s="143">
        <v>41</v>
      </c>
      <c r="B53" s="89" t="s">
        <v>121</v>
      </c>
      <c r="C53" s="143" t="s">
        <v>122</v>
      </c>
      <c r="D53" s="143" t="s">
        <v>222</v>
      </c>
      <c r="E53" s="89" t="s">
        <v>142</v>
      </c>
      <c r="F53" s="89"/>
      <c r="G53" s="144">
        <v>3</v>
      </c>
      <c r="H53" s="144">
        <v>6</v>
      </c>
      <c r="I53" s="144">
        <v>23</v>
      </c>
      <c r="J53" s="143" t="s">
        <v>150</v>
      </c>
      <c r="K53" s="418" t="s">
        <v>353</v>
      </c>
      <c r="L53" s="149"/>
      <c r="M53" s="148"/>
      <c r="O53" s="76" t="str">
        <f>IF(K53&gt;'Moors League'!D49,"RECORD","X")</f>
        <v>X</v>
      </c>
      <c r="P53" s="76" t="str">
        <f>IF(K53&gt;'Moors League'!H49,"RECORD","X")</f>
        <v>X</v>
      </c>
      <c r="Q53" s="76" t="str">
        <f>IF(K53&gt;'Moors League'!L49,"RECORD","X")</f>
        <v>X</v>
      </c>
      <c r="R53" s="76" t="str">
        <f>IF(K53&gt;'Moors League'!P49,"RECORD","X")</f>
        <v>X</v>
      </c>
    </row>
    <row r="54" spans="1:18" s="37" customFormat="1" ht="21.75" customHeight="1" x14ac:dyDescent="0.25">
      <c r="A54" s="143">
        <v>42</v>
      </c>
      <c r="B54" s="89" t="s">
        <v>124</v>
      </c>
      <c r="C54" s="143" t="s">
        <v>122</v>
      </c>
      <c r="D54" s="143" t="s">
        <v>221</v>
      </c>
      <c r="E54" s="89" t="s">
        <v>142</v>
      </c>
      <c r="F54" s="89"/>
      <c r="G54" s="144">
        <v>6</v>
      </c>
      <c r="H54" s="144">
        <v>7</v>
      </c>
      <c r="I54" s="144">
        <v>19</v>
      </c>
      <c r="J54" s="143" t="s">
        <v>6</v>
      </c>
      <c r="K54" s="145">
        <v>46.56</v>
      </c>
      <c r="L54" s="149"/>
      <c r="M54" s="148"/>
      <c r="O54" s="76" t="str">
        <f>IF(K54&gt;'Moors League'!D50,"RECORD","X")</f>
        <v>X</v>
      </c>
      <c r="P54" s="76" t="str">
        <f>IF(K54&gt;'Moors League'!H50,"RECORD","X")</f>
        <v>X</v>
      </c>
      <c r="Q54" s="76" t="str">
        <f>IF(K54&gt;'Moors League'!L50,"RECORD","X")</f>
        <v>X</v>
      </c>
      <c r="R54" s="76" t="str">
        <f>IF(K54&gt;'Moors League'!P50,"RECORD","X")</f>
        <v>X</v>
      </c>
    </row>
    <row r="55" spans="1:18" s="37" customFormat="1" ht="21.75" customHeight="1" x14ac:dyDescent="0.25">
      <c r="A55" s="143">
        <v>42</v>
      </c>
      <c r="B55" s="89" t="s">
        <v>124</v>
      </c>
      <c r="C55" s="143" t="s">
        <v>122</v>
      </c>
      <c r="D55" s="143" t="s">
        <v>222</v>
      </c>
      <c r="E55" s="89" t="s">
        <v>142</v>
      </c>
      <c r="F55" s="89"/>
      <c r="G55" s="144">
        <v>16</v>
      </c>
      <c r="H55" s="144">
        <v>7</v>
      </c>
      <c r="I55" s="144">
        <v>22</v>
      </c>
      <c r="J55" s="143" t="s">
        <v>150</v>
      </c>
      <c r="K55" s="145" t="s">
        <v>226</v>
      </c>
      <c r="L55" s="149"/>
      <c r="M55" s="148"/>
      <c r="O55" s="76" t="str">
        <f>IF(K55&gt;'Moors League'!D50,"RECORD","X")</f>
        <v>X</v>
      </c>
      <c r="P55" s="76" t="str">
        <f>IF(K55&gt;'Moors League'!H50,"RECORD","X")</f>
        <v>X</v>
      </c>
      <c r="Q55" s="76" t="str">
        <f>IF(K55&gt;'Moors League'!L50,"RECORD","X")</f>
        <v>X</v>
      </c>
      <c r="R55" s="76" t="str">
        <f>IF(K55&gt;'Moors League'!P50,"RECORD","X")</f>
        <v>X</v>
      </c>
    </row>
    <row r="56" spans="1:18" s="37" customFormat="1" ht="21.75" customHeight="1" x14ac:dyDescent="0.25">
      <c r="A56" s="143">
        <v>43</v>
      </c>
      <c r="B56" s="89" t="s">
        <v>121</v>
      </c>
      <c r="C56" s="143" t="s">
        <v>126</v>
      </c>
      <c r="D56" s="143" t="s">
        <v>221</v>
      </c>
      <c r="E56" s="89" t="s">
        <v>140</v>
      </c>
      <c r="F56" s="89"/>
      <c r="G56" s="144">
        <v>16</v>
      </c>
      <c r="H56" s="144">
        <v>4</v>
      </c>
      <c r="I56" s="144">
        <v>16</v>
      </c>
      <c r="J56" s="143" t="s">
        <v>4</v>
      </c>
      <c r="K56" s="145" t="s">
        <v>169</v>
      </c>
      <c r="L56" s="149"/>
      <c r="M56" s="148"/>
      <c r="O56" s="76" t="str">
        <f>IF(K56&gt;'Moors League'!D51,"RECORD","X")</f>
        <v>X</v>
      </c>
      <c r="P56" s="76" t="str">
        <f>IF(K56&gt;'Moors League'!H51,"RECORD","X")</f>
        <v>X</v>
      </c>
      <c r="Q56" s="76" t="str">
        <f>IF(K56&gt;'Moors League'!L51,"RECORD","X")</f>
        <v>X</v>
      </c>
      <c r="R56" s="76" t="str">
        <f>IF(K56&gt;'Moors League'!P51,"RECORD","X")</f>
        <v>X</v>
      </c>
    </row>
    <row r="57" spans="1:18" s="37" customFormat="1" ht="21.75" customHeight="1" x14ac:dyDescent="0.25">
      <c r="A57" s="143">
        <v>43</v>
      </c>
      <c r="B57" s="89" t="s">
        <v>121</v>
      </c>
      <c r="C57" s="143" t="s">
        <v>126</v>
      </c>
      <c r="D57" s="143" t="s">
        <v>222</v>
      </c>
      <c r="E57" s="89" t="s">
        <v>140</v>
      </c>
      <c r="F57" s="89"/>
      <c r="G57" s="144">
        <v>18</v>
      </c>
      <c r="H57" s="144">
        <v>6</v>
      </c>
      <c r="I57" s="144">
        <v>22</v>
      </c>
      <c r="J57" s="143" t="s">
        <v>150</v>
      </c>
      <c r="K57" s="145" t="s">
        <v>227</v>
      </c>
      <c r="L57" s="146"/>
      <c r="O57" s="76" t="str">
        <f>IF(K57&gt;'Moors League'!D51,"RECORD","X")</f>
        <v>X</v>
      </c>
      <c r="P57" s="76" t="str">
        <f>IF(K57&gt;'Moors League'!H51,"RECORD","X")</f>
        <v>X</v>
      </c>
      <c r="Q57" s="76" t="str">
        <f>IF(K57&gt;'Moors League'!L51,"RECORD","X")</f>
        <v>X</v>
      </c>
      <c r="R57" s="76" t="str">
        <f>IF(K57&gt;'Moors League'!P51,"RECORD","X")</f>
        <v>X</v>
      </c>
    </row>
    <row r="58" spans="1:18" s="37" customFormat="1" ht="21.75" customHeight="1" x14ac:dyDescent="0.25">
      <c r="A58" s="143">
        <v>44</v>
      </c>
      <c r="B58" s="89" t="s">
        <v>124</v>
      </c>
      <c r="C58" s="143" t="s">
        <v>126</v>
      </c>
      <c r="D58" s="143" t="s">
        <v>221</v>
      </c>
      <c r="E58" s="89" t="s">
        <v>140</v>
      </c>
      <c r="F58" s="89"/>
      <c r="G58" s="144">
        <v>26</v>
      </c>
      <c r="H58" s="144">
        <v>4</v>
      </c>
      <c r="I58" s="144">
        <v>14</v>
      </c>
      <c r="J58" s="143" t="s">
        <v>6</v>
      </c>
      <c r="K58" s="145" t="s">
        <v>157</v>
      </c>
      <c r="L58" s="146"/>
      <c r="O58" s="76" t="str">
        <f>IF(K58&gt;'Moors League'!D52,"RECORD","X")</f>
        <v>X</v>
      </c>
      <c r="P58" s="76" t="str">
        <f>IF(K58&gt;'Moors League'!H52,"RECORD","X")</f>
        <v>X</v>
      </c>
      <c r="Q58" s="76" t="str">
        <f>IF(K58&gt;'Moors League'!L52,"RECORD","X")</f>
        <v>X</v>
      </c>
      <c r="R58" s="76" t="str">
        <f>IF(K58&gt;'Moors League'!P52,"RECORD","X")</f>
        <v>X</v>
      </c>
    </row>
    <row r="59" spans="1:18" s="37" customFormat="1" ht="21.75" customHeight="1" x14ac:dyDescent="0.25">
      <c r="A59" s="143">
        <v>44</v>
      </c>
      <c r="B59" s="89" t="s">
        <v>124</v>
      </c>
      <c r="C59" s="143" t="s">
        <v>126</v>
      </c>
      <c r="D59" s="143" t="s">
        <v>222</v>
      </c>
      <c r="E59" s="89" t="s">
        <v>140</v>
      </c>
      <c r="F59" s="89"/>
      <c r="G59" s="144">
        <v>3</v>
      </c>
      <c r="H59" s="144">
        <v>6</v>
      </c>
      <c r="I59" s="144">
        <v>23</v>
      </c>
      <c r="J59" s="143" t="s">
        <v>4</v>
      </c>
      <c r="K59" s="418" t="s">
        <v>397</v>
      </c>
      <c r="L59" s="146"/>
      <c r="O59" s="76" t="str">
        <f>IF(K59&gt;'Moors League'!D52,"RECORD","X")</f>
        <v>X</v>
      </c>
      <c r="P59" s="76" t="str">
        <f>IF(K59&gt;'Moors League'!H52,"RECORD","X")</f>
        <v>X</v>
      </c>
      <c r="Q59" s="76" t="str">
        <f>IF(K59&gt;'Moors League'!L52,"RECORD","X")</f>
        <v>X</v>
      </c>
      <c r="R59" s="76" t="str">
        <f>IF(K59&gt;'Moors League'!P52,"RECORD","X")</f>
        <v>X</v>
      </c>
    </row>
    <row r="60" spans="1:18" s="37" customFormat="1" ht="21.75" customHeight="1" x14ac:dyDescent="0.25">
      <c r="A60" s="143">
        <v>45</v>
      </c>
      <c r="B60" s="89" t="s">
        <v>121</v>
      </c>
      <c r="C60" s="143" t="s">
        <v>138</v>
      </c>
      <c r="D60" s="143"/>
      <c r="E60" s="89" t="s">
        <v>148</v>
      </c>
      <c r="F60" s="89"/>
      <c r="G60" s="144">
        <v>8</v>
      </c>
      <c r="H60" s="144">
        <v>10</v>
      </c>
      <c r="I60" s="144">
        <v>11</v>
      </c>
      <c r="J60" s="143" t="s">
        <v>128</v>
      </c>
      <c r="K60" s="145">
        <v>28.83</v>
      </c>
      <c r="L60" s="146" t="s">
        <v>139</v>
      </c>
      <c r="O60" s="76" t="str">
        <f>IF(K60&gt;'Moors League'!D53,'Lane 1 Team Sheet'!D62,"X")</f>
        <v>X</v>
      </c>
      <c r="P60" s="76" t="str">
        <f>IF(K60&gt;'Moors League'!H53,'Lane 2 Team Sheet'!D62,"X")</f>
        <v>X</v>
      </c>
      <c r="Q60" s="76" t="str">
        <f>IF(K60&gt;'Moors League'!L53,'Lane 3 Team Sheet'!D62,"X")</f>
        <v>X</v>
      </c>
      <c r="R60" s="76" t="str">
        <f>IF(K60&gt;'Moors League'!P53,'Lane 4 Team Sheet'!D62,"X")</f>
        <v>X</v>
      </c>
    </row>
    <row r="61" spans="1:18" s="37" customFormat="1" ht="21.75" customHeight="1" x14ac:dyDescent="0.25">
      <c r="A61" s="143">
        <v>46</v>
      </c>
      <c r="B61" s="89" t="s">
        <v>124</v>
      </c>
      <c r="C61" s="143" t="s">
        <v>138</v>
      </c>
      <c r="D61" s="143"/>
      <c r="E61" s="89" t="s">
        <v>148</v>
      </c>
      <c r="F61" s="89"/>
      <c r="G61" s="144">
        <v>29</v>
      </c>
      <c r="H61" s="144">
        <v>6</v>
      </c>
      <c r="I61" s="144">
        <v>2</v>
      </c>
      <c r="J61" s="143" t="s">
        <v>135</v>
      </c>
      <c r="K61" s="145">
        <v>26.15</v>
      </c>
      <c r="L61" s="146" t="s">
        <v>144</v>
      </c>
      <c r="O61" s="76" t="str">
        <f>IF(K61&gt;'Moors League'!D54,'Lane 1 Team Sheet'!D63,"X")</f>
        <v>X</v>
      </c>
      <c r="P61" s="76" t="str">
        <f>IF(K61&gt;'Moors League'!H54,'Lane 2 Team Sheet'!D63,"X")</f>
        <v>X</v>
      </c>
      <c r="Q61" s="76" t="str">
        <f>IF(K61&gt;'Moors League'!L54,'Lane 3 Team Sheet'!D63,"X")</f>
        <v>X</v>
      </c>
      <c r="R61" s="76" t="str">
        <f>IF(K61&gt;'Moors League'!P54,'Lane 4 Team Sheet'!D63,"X")</f>
        <v>X</v>
      </c>
    </row>
    <row r="62" spans="1:18" s="37" customFormat="1" ht="21.75" customHeight="1" x14ac:dyDescent="0.25">
      <c r="A62" s="143">
        <v>47</v>
      </c>
      <c r="B62" s="89" t="s">
        <v>121</v>
      </c>
      <c r="C62" s="143" t="s">
        <v>133</v>
      </c>
      <c r="D62" s="143"/>
      <c r="E62" s="89" t="s">
        <v>158</v>
      </c>
      <c r="F62" s="89"/>
      <c r="G62" s="144">
        <v>21</v>
      </c>
      <c r="H62" s="144">
        <v>1</v>
      </c>
      <c r="I62" s="144">
        <v>12</v>
      </c>
      <c r="J62" s="143" t="s">
        <v>4</v>
      </c>
      <c r="K62" s="145">
        <v>16.440000000000001</v>
      </c>
      <c r="L62" s="146" t="s">
        <v>159</v>
      </c>
      <c r="O62" s="76" t="str">
        <f>IF(K62&gt;'Moors League'!D55,'Lane 1 Team Sheet'!D64,"X")</f>
        <v>X</v>
      </c>
      <c r="P62" s="76" t="str">
        <f>IF(K62&gt;'Moors League'!H55,'Lane 2 Team Sheet'!D64,"X")</f>
        <v>X</v>
      </c>
      <c r="Q62" s="76" t="str">
        <f>IF(K62&gt;'Moors League'!L55,'Lane 3 Team Sheet'!D64,"X")</f>
        <v>X</v>
      </c>
      <c r="R62" s="76" t="str">
        <f>IF(K62&gt;'Moors League'!P55,'Lane 4 Team Sheet'!D64,"X")</f>
        <v>X</v>
      </c>
    </row>
    <row r="63" spans="1:18" s="37" customFormat="1" ht="21.75" customHeight="1" x14ac:dyDescent="0.25">
      <c r="A63" s="143">
        <v>48</v>
      </c>
      <c r="B63" s="89" t="s">
        <v>124</v>
      </c>
      <c r="C63" s="143" t="s">
        <v>133</v>
      </c>
      <c r="D63" s="143"/>
      <c r="E63" s="89" t="s">
        <v>158</v>
      </c>
      <c r="F63" s="89"/>
      <c r="G63" s="144">
        <v>6</v>
      </c>
      <c r="H63" s="144">
        <v>10</v>
      </c>
      <c r="I63" s="144">
        <v>1</v>
      </c>
      <c r="J63" s="143" t="s">
        <v>128</v>
      </c>
      <c r="K63" s="145">
        <v>16.21</v>
      </c>
      <c r="L63" s="146" t="s">
        <v>129</v>
      </c>
      <c r="O63" s="76" t="str">
        <f>IF(K63&gt;'Moors League'!D56,'Lane 1 Team Sheet'!D65,"X")</f>
        <v>X</v>
      </c>
      <c r="P63" s="76" t="str">
        <f>IF(K63&gt;'Moors League'!H56,'Lane 2 Team Sheet'!D65,"X")</f>
        <v>X</v>
      </c>
      <c r="Q63" s="76" t="str">
        <f>IF(K63&gt;'Moors League'!L56,'Lane 3 Team Sheet'!D65,"X")</f>
        <v>X</v>
      </c>
      <c r="R63" s="76" t="str">
        <f>IF(K63&gt;'Moors League'!P56,'Lane 4 Team Sheet'!D65,"X")</f>
        <v>X</v>
      </c>
    </row>
    <row r="64" spans="1:18" s="37" customFormat="1" ht="21.75" customHeight="1" x14ac:dyDescent="0.25">
      <c r="A64" s="143">
        <v>49</v>
      </c>
      <c r="B64" s="89" t="s">
        <v>121</v>
      </c>
      <c r="C64" s="143" t="s">
        <v>130</v>
      </c>
      <c r="D64" s="143"/>
      <c r="E64" s="89" t="s">
        <v>123</v>
      </c>
      <c r="F64" s="89"/>
      <c r="G64" s="144">
        <v>5</v>
      </c>
      <c r="H64" s="144">
        <v>10</v>
      </c>
      <c r="I64" s="144">
        <v>13</v>
      </c>
      <c r="J64" s="143" t="s">
        <v>5</v>
      </c>
      <c r="K64" s="145">
        <v>30.95</v>
      </c>
      <c r="L64" s="146" t="s">
        <v>115</v>
      </c>
      <c r="O64" s="76" t="str">
        <f>IF(K64&gt;'Moors League'!D57,'Lane 1 Team Sheet'!D66,"X")</f>
        <v>X</v>
      </c>
      <c r="P64" s="76" t="str">
        <f>IF(K64&gt;'Moors League'!H57,'Lane 2 Team Sheet'!D66,"X")</f>
        <v>X</v>
      </c>
      <c r="Q64" s="76" t="str">
        <f>IF(K64&gt;'Moors League'!L57,'Lane 3 Team Sheet'!D66,"X")</f>
        <v>X</v>
      </c>
      <c r="R64" s="76" t="str">
        <f>IF(K64&gt;'Moors League'!P57,'Lane 4 Team Sheet'!D66,"X")</f>
        <v>X</v>
      </c>
    </row>
    <row r="65" spans="1:18" s="37" customFormat="1" ht="21.75" customHeight="1" x14ac:dyDescent="0.25">
      <c r="A65" s="143">
        <v>50</v>
      </c>
      <c r="B65" s="89" t="s">
        <v>124</v>
      </c>
      <c r="C65" s="143" t="s">
        <v>130</v>
      </c>
      <c r="D65" s="143"/>
      <c r="E65" s="89" t="s">
        <v>123</v>
      </c>
      <c r="F65" s="89"/>
      <c r="G65" s="144">
        <v>11</v>
      </c>
      <c r="H65" s="144">
        <v>10</v>
      </c>
      <c r="I65" s="144">
        <v>8</v>
      </c>
      <c r="J65" s="143" t="s">
        <v>128</v>
      </c>
      <c r="K65" s="145">
        <v>29.14</v>
      </c>
      <c r="L65" s="146" t="s">
        <v>132</v>
      </c>
      <c r="O65" s="76" t="str">
        <f>IF(K65&gt;'Moors League'!D58,'Lane 1 Team Sheet'!D67,"X")</f>
        <v>X</v>
      </c>
      <c r="P65" s="76" t="str">
        <f>IF(K65&gt;'Moors League'!H58,'Lane 2 Team Sheet'!D67,"X")</f>
        <v>X</v>
      </c>
      <c r="Q65" s="76" t="str">
        <f>IF(K65&gt;'Moors League'!L58,'Lane 3 Team Sheet'!D67,"X")</f>
        <v>X</v>
      </c>
      <c r="R65" s="76" t="str">
        <f>IF(K65&gt;'Moors League'!P58,'Lane 4 Team Sheet'!D67,"X")</f>
        <v>X</v>
      </c>
    </row>
    <row r="66" spans="1:18" s="37" customFormat="1" ht="21.75" customHeight="1" x14ac:dyDescent="0.25">
      <c r="A66" s="143">
        <v>51</v>
      </c>
      <c r="B66" s="89" t="s">
        <v>121</v>
      </c>
      <c r="C66" s="143" t="s">
        <v>126</v>
      </c>
      <c r="D66" s="143"/>
      <c r="E66" s="89" t="s">
        <v>131</v>
      </c>
      <c r="F66" s="89"/>
      <c r="G66" s="144">
        <v>16</v>
      </c>
      <c r="H66" s="144">
        <v>4</v>
      </c>
      <c r="I66" s="144">
        <v>16</v>
      </c>
      <c r="J66" s="143" t="s">
        <v>5</v>
      </c>
      <c r="K66" s="145">
        <v>38.89</v>
      </c>
      <c r="L66" s="146" t="s">
        <v>168</v>
      </c>
      <c r="O66" s="76" t="str">
        <f>IF(K66&gt;'Moors League'!D59,'Lane 1 Team Sheet'!D68,"X")</f>
        <v>X</v>
      </c>
      <c r="P66" s="76" t="str">
        <f>IF(K66&gt;'Moors League'!H59,'Lane 2 Team Sheet'!D68,"X")</f>
        <v>X</v>
      </c>
      <c r="Q66" s="76" t="str">
        <f>IF(K66&gt;'Moors League'!L59,'Lane 3 Team Sheet'!D68,"X")</f>
        <v>X</v>
      </c>
      <c r="R66" s="76" t="str">
        <f>IF(K66&gt;'Moors League'!P59,'Lane 4 Team Sheet'!D68,"X")</f>
        <v>X</v>
      </c>
    </row>
    <row r="67" spans="1:18" s="37" customFormat="1" ht="21.75" customHeight="1" x14ac:dyDescent="0.25">
      <c r="A67" s="143">
        <v>52</v>
      </c>
      <c r="B67" s="89" t="s">
        <v>124</v>
      </c>
      <c r="C67" s="143" t="s">
        <v>126</v>
      </c>
      <c r="D67" s="143"/>
      <c r="E67" s="89" t="s">
        <v>131</v>
      </c>
      <c r="F67" s="89"/>
      <c r="G67" s="144">
        <v>25</v>
      </c>
      <c r="H67" s="144">
        <v>6</v>
      </c>
      <c r="I67" s="144">
        <v>16</v>
      </c>
      <c r="J67" s="143" t="s">
        <v>150</v>
      </c>
      <c r="K67" s="145">
        <v>35.54</v>
      </c>
      <c r="L67" s="146" t="s">
        <v>166</v>
      </c>
      <c r="O67" s="76" t="str">
        <f>IF(K67&gt;'Moors League'!D60,'Lane 1 Team Sheet'!D69,"X")</f>
        <v>X</v>
      </c>
      <c r="P67" s="76" t="str">
        <f>IF(K67&gt;'Moors League'!H60,'Lane 2 Team Sheet'!D69,"X")</f>
        <v>X</v>
      </c>
      <c r="Q67" s="76" t="str">
        <f>IF(K67&gt;'Moors League'!L60,'Lane 3 Team Sheet'!D69,"X")</f>
        <v>X</v>
      </c>
      <c r="R67" s="76" t="str">
        <f>IF(K67&gt;'Moors League'!P60,'Lane 4 Team Sheet'!D69,"X")</f>
        <v>X</v>
      </c>
    </row>
    <row r="68" spans="1:18" s="37" customFormat="1" ht="21.75" customHeight="1" x14ac:dyDescent="0.25">
      <c r="A68" s="143">
        <v>53</v>
      </c>
      <c r="B68" s="89" t="s">
        <v>121</v>
      </c>
      <c r="C68" s="143" t="s">
        <v>122</v>
      </c>
      <c r="D68" s="143"/>
      <c r="E68" s="89" t="s">
        <v>148</v>
      </c>
      <c r="F68" s="89"/>
      <c r="G68" s="144">
        <v>11</v>
      </c>
      <c r="H68" s="144">
        <v>7</v>
      </c>
      <c r="I68" s="144">
        <v>15</v>
      </c>
      <c r="J68" s="143" t="s">
        <v>5</v>
      </c>
      <c r="K68" s="145">
        <v>27.22</v>
      </c>
      <c r="L68" s="146" t="s">
        <v>115</v>
      </c>
      <c r="O68" s="76" t="str">
        <f>IF(K68&gt;'Moors League'!D61,'Lane 1 Team Sheet'!D70,"X")</f>
        <v>X</v>
      </c>
      <c r="P68" s="76" t="str">
        <f>IF(K68&gt;'Moors League'!H61,'Lane 2 Team Sheet'!D70,"X")</f>
        <v>X</v>
      </c>
      <c r="Q68" s="76" t="str">
        <f>IF(K68&gt;'Moors League'!L61,'Lane 3 Team Sheet'!D70,"X")</f>
        <v>X</v>
      </c>
      <c r="R68" s="76" t="str">
        <f>IF(K68&gt;'Moors League'!P61,'Lane 4 Team Sheet'!D70,"X")</f>
        <v>X</v>
      </c>
    </row>
    <row r="69" spans="1:18" s="37" customFormat="1" ht="21.75" customHeight="1" x14ac:dyDescent="0.25">
      <c r="A69" s="143">
        <v>54</v>
      </c>
      <c r="B69" s="89" t="s">
        <v>124</v>
      </c>
      <c r="C69" s="143" t="s">
        <v>122</v>
      </c>
      <c r="D69" s="143"/>
      <c r="E69" s="89" t="s">
        <v>148</v>
      </c>
      <c r="F69" s="89"/>
      <c r="G69" s="144">
        <v>4</v>
      </c>
      <c r="H69" s="144">
        <v>7</v>
      </c>
      <c r="I69" s="144">
        <v>9</v>
      </c>
      <c r="J69" s="143" t="s">
        <v>128</v>
      </c>
      <c r="K69" s="145">
        <v>23.9</v>
      </c>
      <c r="L69" s="146" t="s">
        <v>132</v>
      </c>
      <c r="O69" s="76" t="str">
        <f>IF(K69&gt;'Moors League'!D62,'Lane 1 Team Sheet'!D71,"X")</f>
        <v>X</v>
      </c>
      <c r="P69" s="76" t="str">
        <f>IF(K69&gt;'Moors League'!H62,'Lane 2 Team Sheet'!D71,"X")</f>
        <v>X</v>
      </c>
      <c r="Q69" s="76" t="str">
        <f>IF(K69&gt;'Moors League'!L62,'Lane 3 Team Sheet'!D71,"X")</f>
        <v>X</v>
      </c>
      <c r="R69" s="76" t="str">
        <f>IF(K69&gt;'Moors League'!P62,'Lane 4 Team Sheet'!D71,"X")</f>
        <v>X</v>
      </c>
    </row>
    <row r="70" spans="1:18" s="37" customFormat="1" ht="21.75" customHeight="1" x14ac:dyDescent="0.25">
      <c r="A70" s="143">
        <v>55</v>
      </c>
      <c r="B70" s="89" t="s">
        <v>121</v>
      </c>
      <c r="C70" s="143" t="s">
        <v>138</v>
      </c>
      <c r="D70" s="143" t="s">
        <v>221</v>
      </c>
      <c r="E70" s="89" t="s">
        <v>142</v>
      </c>
      <c r="F70" s="89"/>
      <c r="G70" s="144">
        <v>7</v>
      </c>
      <c r="H70" s="144">
        <v>7</v>
      </c>
      <c r="I70" s="144">
        <v>18</v>
      </c>
      <c r="J70" s="143" t="s">
        <v>5</v>
      </c>
      <c r="K70" s="145">
        <v>56.23</v>
      </c>
      <c r="L70" s="146"/>
      <c r="O70" s="76" t="str">
        <f>IF(K70&gt;'Moors League'!D63,"RECORD","X")</f>
        <v>X</v>
      </c>
      <c r="P70" s="76" t="str">
        <f>IF(K70&gt;'Moors League'!H63,"RECORD","X")</f>
        <v>X</v>
      </c>
      <c r="Q70" s="76" t="str">
        <f>IF(K70&gt;'Moors League'!L63,"RECORD","X")</f>
        <v>X</v>
      </c>
      <c r="R70" s="76" t="str">
        <f>IF(K70&gt;'Moors League'!P63,"RECORD","X")</f>
        <v>X</v>
      </c>
    </row>
    <row r="71" spans="1:18" s="37" customFormat="1" ht="21.75" customHeight="1" x14ac:dyDescent="0.25">
      <c r="A71" s="143">
        <v>55</v>
      </c>
      <c r="B71" s="89" t="s">
        <v>121</v>
      </c>
      <c r="C71" s="143" t="s">
        <v>138</v>
      </c>
      <c r="D71" s="143" t="s">
        <v>222</v>
      </c>
      <c r="E71" s="89" t="s">
        <v>142</v>
      </c>
      <c r="F71" s="89"/>
      <c r="G71" s="144">
        <v>3</v>
      </c>
      <c r="H71" s="144">
        <v>6</v>
      </c>
      <c r="I71" s="144">
        <v>23</v>
      </c>
      <c r="J71" s="143" t="s">
        <v>150</v>
      </c>
      <c r="K71" s="418" t="s">
        <v>355</v>
      </c>
      <c r="L71" s="146"/>
      <c r="O71" s="76" t="str">
        <f>IF(K71&gt;'Moors League'!D63,"RECORD","X")</f>
        <v>X</v>
      </c>
      <c r="P71" s="76" t="str">
        <f>IF(K71&gt;'Moors League'!H63,"RECORD","X")</f>
        <v>X</v>
      </c>
      <c r="Q71" s="76" t="str">
        <f>IF(K71&gt;'Moors League'!L63,"RECORD","X")</f>
        <v>X</v>
      </c>
      <c r="R71" s="76" t="str">
        <f>IF(K71&gt;'Moors League'!P63,"RECORD","X")</f>
        <v>X</v>
      </c>
    </row>
    <row r="72" spans="1:18" s="37" customFormat="1" ht="21.75" customHeight="1" x14ac:dyDescent="0.25">
      <c r="A72" s="143">
        <v>56</v>
      </c>
      <c r="B72" s="89" t="s">
        <v>124</v>
      </c>
      <c r="C72" s="143" t="s">
        <v>138</v>
      </c>
      <c r="D72" s="143" t="s">
        <v>221</v>
      </c>
      <c r="E72" s="89" t="s">
        <v>142</v>
      </c>
      <c r="F72" s="89"/>
      <c r="G72" s="144">
        <v>25</v>
      </c>
      <c r="H72" s="144">
        <v>6</v>
      </c>
      <c r="I72" s="144">
        <v>16</v>
      </c>
      <c r="J72" s="143" t="s">
        <v>6</v>
      </c>
      <c r="K72" s="145">
        <v>51.52</v>
      </c>
      <c r="L72" s="146"/>
      <c r="O72" s="76" t="str">
        <f>IF(K72&gt;'Moors League'!D64,"RECORD","X")</f>
        <v>X</v>
      </c>
      <c r="P72" s="76" t="str">
        <f>IF(K72&gt;'Moors League'!H64,"RECORD","X")</f>
        <v>X</v>
      </c>
      <c r="Q72" s="76" t="str">
        <f>IF(K72&gt;'Moors League'!L64,"RECORD","X")</f>
        <v>X</v>
      </c>
      <c r="R72" s="76" t="str">
        <f>IF(K72&gt;'Moors League'!P64,"RECORD","X")</f>
        <v>X</v>
      </c>
    </row>
    <row r="73" spans="1:18" s="37" customFormat="1" ht="21.75" customHeight="1" x14ac:dyDescent="0.25">
      <c r="A73" s="143">
        <v>56</v>
      </c>
      <c r="B73" s="89" t="s">
        <v>124</v>
      </c>
      <c r="C73" s="143" t="s">
        <v>138</v>
      </c>
      <c r="D73" s="143" t="s">
        <v>222</v>
      </c>
      <c r="E73" s="89" t="s">
        <v>142</v>
      </c>
      <c r="F73" s="89"/>
      <c r="G73" s="144">
        <v>20</v>
      </c>
      <c r="H73" s="144">
        <v>5</v>
      </c>
      <c r="I73" s="144">
        <v>23</v>
      </c>
      <c r="J73" s="143" t="s">
        <v>6</v>
      </c>
      <c r="K73" s="450" t="s">
        <v>301</v>
      </c>
      <c r="L73" s="149"/>
      <c r="M73" s="148"/>
      <c r="O73" s="76" t="str">
        <f>IF(K73&gt;'Moors League'!D64,"RECORD","X")</f>
        <v>X</v>
      </c>
      <c r="P73" s="76" t="str">
        <f>IF(K73&gt;'Moors League'!H64,"RECORD","X")</f>
        <v>X</v>
      </c>
      <c r="Q73" s="76" t="str">
        <f>IF(K73&gt;'Moors League'!L64,"RECORD","X")</f>
        <v>X</v>
      </c>
      <c r="R73" s="76" t="str">
        <f>IF(K73&gt;'Moors League'!P64,"RECORD","X")</f>
        <v>X</v>
      </c>
    </row>
    <row r="74" spans="1:18" s="37" customFormat="1" ht="21.75" customHeight="1" x14ac:dyDescent="0.25">
      <c r="A74" s="143">
        <v>57</v>
      </c>
      <c r="B74" s="89" t="s">
        <v>121</v>
      </c>
      <c r="C74" s="143" t="s">
        <v>151</v>
      </c>
      <c r="D74" s="143" t="s">
        <v>221</v>
      </c>
      <c r="E74" s="89" t="s">
        <v>140</v>
      </c>
      <c r="F74" s="89"/>
      <c r="G74" s="144">
        <v>29</v>
      </c>
      <c r="H74" s="144">
        <v>6</v>
      </c>
      <c r="I74" s="144">
        <v>2</v>
      </c>
      <c r="J74" s="143" t="s">
        <v>141</v>
      </c>
      <c r="K74" s="145" t="s">
        <v>160</v>
      </c>
      <c r="L74" s="149"/>
      <c r="M74" s="148"/>
      <c r="O74" s="76" t="str">
        <f>IF(K74&gt;'Moors League'!D65,"RECORD","X")</f>
        <v>X</v>
      </c>
      <c r="P74" s="76" t="str">
        <f>IF(K74&gt;'Moors League'!H65,"RECORD","X")</f>
        <v>X</v>
      </c>
      <c r="Q74" s="76" t="str">
        <f>IF(K74&gt;'Moors League'!L65,"RECORD","X")</f>
        <v>X</v>
      </c>
      <c r="R74" s="76" t="str">
        <f>IF(K74&gt;'Moors League'!P65,"RECORD","X")</f>
        <v>X</v>
      </c>
    </row>
    <row r="75" spans="1:18" s="37" customFormat="1" ht="21.75" customHeight="1" x14ac:dyDescent="0.25">
      <c r="A75" s="143">
        <v>58</v>
      </c>
      <c r="B75" s="89" t="s">
        <v>124</v>
      </c>
      <c r="C75" s="143" t="s">
        <v>151</v>
      </c>
      <c r="D75" s="143" t="s">
        <v>221</v>
      </c>
      <c r="E75" s="89" t="s">
        <v>140</v>
      </c>
      <c r="F75" s="89"/>
      <c r="G75" s="144">
        <v>29</v>
      </c>
      <c r="H75" s="144">
        <v>6</v>
      </c>
      <c r="I75" s="144">
        <v>2</v>
      </c>
      <c r="J75" s="143" t="s">
        <v>146</v>
      </c>
      <c r="K75" s="145" t="s">
        <v>161</v>
      </c>
      <c r="L75" s="149"/>
      <c r="M75" s="148"/>
      <c r="O75" s="76" t="str">
        <f>IF(K75&gt;'Moors League'!D66,"RECORD","X")</f>
        <v>X</v>
      </c>
      <c r="P75" s="76" t="str">
        <f>IF(K75&gt;'Moors League'!H66,"RECORD","X")</f>
        <v>X</v>
      </c>
      <c r="Q75" s="76" t="str">
        <f>IF(K75&gt;'Moors League'!L66,"RECORD","X")</f>
        <v>X</v>
      </c>
      <c r="R75" s="76" t="str">
        <f>IF(K75&gt;'Moors League'!P66,"RECORD","X")</f>
        <v>X</v>
      </c>
    </row>
    <row r="76" spans="1:18" s="37" customFormat="1" ht="21.75" customHeight="1" x14ac:dyDescent="0.25">
      <c r="A76" s="143">
        <v>59</v>
      </c>
      <c r="B76" s="89" t="s">
        <v>121</v>
      </c>
      <c r="C76" s="143" t="s">
        <v>130</v>
      </c>
      <c r="D76" s="143" t="s">
        <v>221</v>
      </c>
      <c r="E76" s="89" t="s">
        <v>142</v>
      </c>
      <c r="F76" s="89"/>
      <c r="G76" s="144">
        <v>1</v>
      </c>
      <c r="H76" s="144">
        <v>6</v>
      </c>
      <c r="I76" s="144">
        <v>19</v>
      </c>
      <c r="J76" s="143" t="s">
        <v>5</v>
      </c>
      <c r="K76" s="145">
        <v>53.97</v>
      </c>
      <c r="L76" s="149"/>
      <c r="M76" s="148"/>
      <c r="O76" s="76" t="str">
        <f>IF(K76&gt;'Moors League'!D67,"RECORD","X")</f>
        <v>X</v>
      </c>
      <c r="P76" s="76" t="str">
        <f>IF(K76&gt;'Moors League'!H67,"RECORD","X")</f>
        <v>X</v>
      </c>
      <c r="Q76" s="76" t="str">
        <f>IF(K76&gt;'Moors League'!L67,"RECORD","X")</f>
        <v>X</v>
      </c>
      <c r="R76" s="76" t="str">
        <f>IF(K76&gt;'Moors League'!P67,"RECORD","X")</f>
        <v>X</v>
      </c>
    </row>
    <row r="77" spans="1:18" s="37" customFormat="1" ht="21.75" customHeight="1" x14ac:dyDescent="0.25">
      <c r="A77" s="143">
        <v>59</v>
      </c>
      <c r="B77" s="89" t="s">
        <v>121</v>
      </c>
      <c r="C77" s="143" t="s">
        <v>130</v>
      </c>
      <c r="D77" s="143" t="s">
        <v>222</v>
      </c>
      <c r="E77" s="89" t="s">
        <v>142</v>
      </c>
      <c r="F77" s="89"/>
      <c r="G77" s="144">
        <v>14</v>
      </c>
      <c r="H77" s="144">
        <v>5</v>
      </c>
      <c r="I77" s="144">
        <v>22</v>
      </c>
      <c r="J77" s="143" t="s">
        <v>150</v>
      </c>
      <c r="K77" s="145" t="s">
        <v>213</v>
      </c>
      <c r="L77" s="146"/>
      <c r="O77" s="76" t="str">
        <f>IF(K77&gt;'Moors League'!D67,"RECORD","X")</f>
        <v>X</v>
      </c>
      <c r="P77" s="76" t="str">
        <f>IF(K77&gt;'Moors League'!H67,"RECORD","X")</f>
        <v>X</v>
      </c>
      <c r="Q77" s="76" t="str">
        <f>IF(K77&gt;'Moors League'!L67,"RECORD","X")</f>
        <v>X</v>
      </c>
      <c r="R77" s="76" t="str">
        <f>IF(K77&gt;'Moors League'!P67,"RECORD","X")</f>
        <v>X</v>
      </c>
    </row>
    <row r="78" spans="1:18" s="37" customFormat="1" ht="21.75" customHeight="1" x14ac:dyDescent="0.25">
      <c r="A78" s="143">
        <v>60</v>
      </c>
      <c r="B78" s="89" t="s">
        <v>124</v>
      </c>
      <c r="C78" s="143" t="s">
        <v>130</v>
      </c>
      <c r="D78" s="143" t="s">
        <v>221</v>
      </c>
      <c r="E78" s="89" t="s">
        <v>142</v>
      </c>
      <c r="F78" s="89"/>
      <c r="G78" s="144">
        <v>25</v>
      </c>
      <c r="H78" s="144">
        <v>6</v>
      </c>
      <c r="I78" s="144">
        <v>16</v>
      </c>
      <c r="J78" s="143" t="s">
        <v>128</v>
      </c>
      <c r="K78" s="145">
        <v>50.04</v>
      </c>
      <c r="L78" s="146"/>
      <c r="O78" s="76" t="str">
        <f>IF(K78&gt;'Moors League'!D68,"RECORD","X")</f>
        <v>X</v>
      </c>
      <c r="P78" s="76" t="str">
        <f>IF(K78&gt;'Moors League'!H68,"RECORD","X")</f>
        <v>X</v>
      </c>
      <c r="Q78" s="76" t="str">
        <f>IF(K78&gt;'Moors League'!L68,"RECORD","X")</f>
        <v>X</v>
      </c>
      <c r="R78" s="76" t="str">
        <f>IF(K78&gt;'Moors League'!P68,"RECORD","X")</f>
        <v>X</v>
      </c>
    </row>
    <row r="79" spans="1:18" s="37" customFormat="1" ht="21.75" customHeight="1" x14ac:dyDescent="0.25">
      <c r="A79" s="143">
        <v>60</v>
      </c>
      <c r="B79" s="89" t="s">
        <v>124</v>
      </c>
      <c r="C79" s="143" t="s">
        <v>130</v>
      </c>
      <c r="D79" s="143" t="s">
        <v>222</v>
      </c>
      <c r="E79" s="89" t="s">
        <v>142</v>
      </c>
      <c r="F79" s="89"/>
      <c r="G79" s="144">
        <v>16</v>
      </c>
      <c r="H79" s="144">
        <v>7</v>
      </c>
      <c r="I79" s="144">
        <v>22</v>
      </c>
      <c r="J79" s="143" t="s">
        <v>6</v>
      </c>
      <c r="K79" s="145" t="s">
        <v>228</v>
      </c>
      <c r="L79" s="146"/>
      <c r="O79" s="76" t="str">
        <f>IF(K79&gt;'Moors League'!D68,"RECORD","X")</f>
        <v>X</v>
      </c>
      <c r="P79" s="76" t="str">
        <f>IF(K79&gt;'Moors League'!H68,"RECORD","X")</f>
        <v>X</v>
      </c>
      <c r="Q79" s="76" t="str">
        <f>IF(K79&gt;'Moors League'!L68,"RECORD","X")</f>
        <v>X</v>
      </c>
      <c r="R79" s="76" t="str">
        <f>IF(K79&gt;'Moors League'!P68,"RECORD","X")</f>
        <v>X</v>
      </c>
    </row>
    <row r="80" spans="1:18" s="37" customFormat="1" ht="21.75" customHeight="1" x14ac:dyDescent="0.25">
      <c r="A80" s="147">
        <v>61</v>
      </c>
      <c r="B80" s="99" t="s">
        <v>162</v>
      </c>
      <c r="C80" s="147" t="s">
        <v>163</v>
      </c>
      <c r="D80" s="147"/>
      <c r="E80" s="99" t="s">
        <v>164</v>
      </c>
      <c r="F80" s="99"/>
      <c r="G80" s="144">
        <v>11</v>
      </c>
      <c r="H80" s="144">
        <v>7</v>
      </c>
      <c r="I80" s="144">
        <v>15</v>
      </c>
      <c r="J80" s="143" t="s">
        <v>128</v>
      </c>
      <c r="K80" s="145" t="s">
        <v>165</v>
      </c>
      <c r="L80" s="146"/>
      <c r="O80" s="76" t="str">
        <f>IF(K80&gt;'Moors League'!D69,"RECORD","X")</f>
        <v>X</v>
      </c>
      <c r="P80" s="76" t="str">
        <f>IF(K80&gt;'Moors League'!H69,"RECORD","X")</f>
        <v>X</v>
      </c>
      <c r="Q80" s="76" t="str">
        <f>IF(K80&gt;'Moors League'!L69,"RECORD","X")</f>
        <v>X</v>
      </c>
      <c r="R80" s="76" t="str">
        <f>IF(K80&gt;'Moors League'!P69,"RECORD","X")</f>
        <v>X</v>
      </c>
    </row>
    <row r="81" spans="1:18" s="37" customFormat="1" ht="21.75" customHeight="1" x14ac:dyDescent="0.25">
      <c r="A81" s="147">
        <v>61</v>
      </c>
      <c r="B81" s="99" t="s">
        <v>162</v>
      </c>
      <c r="C81" s="147" t="s">
        <v>223</v>
      </c>
      <c r="D81" s="147"/>
      <c r="E81" s="99" t="s">
        <v>164</v>
      </c>
      <c r="F81" s="99"/>
      <c r="G81" s="144">
        <v>20</v>
      </c>
      <c r="H81" s="144">
        <v>5</v>
      </c>
      <c r="I81" s="144">
        <v>23</v>
      </c>
      <c r="J81" s="143" t="s">
        <v>150</v>
      </c>
      <c r="K81" s="450" t="s">
        <v>302</v>
      </c>
      <c r="L81" s="146"/>
      <c r="O81" s="76" t="str">
        <f>IF(K81&gt;'Moors League'!D69,"RECORD","X")</f>
        <v>X</v>
      </c>
      <c r="P81" s="76" t="str">
        <f>IF(K81&gt;'Moors League'!H69,"RECORD","X")</f>
        <v>X</v>
      </c>
      <c r="Q81" s="76" t="str">
        <f>IF(K81&gt;'Moors League'!L69,"RECORD","X")</f>
        <v>X</v>
      </c>
      <c r="R81" s="76" t="str">
        <f>IF(K81&gt;'Moors League'!P69,"RECORD","X")</f>
        <v>X</v>
      </c>
    </row>
    <row r="102" ht="24.75" customHeight="1" x14ac:dyDescent="0.2"/>
  </sheetData>
  <sheetProtection selectLockedCells="1" selectUnlockedCells="1"/>
  <mergeCells count="2">
    <mergeCell ref="O1:R1"/>
    <mergeCell ref="A2:B2"/>
  </mergeCells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2"/>
  <sheetViews>
    <sheetView topLeftCell="A3" workbookViewId="0">
      <selection activeCell="B4" sqref="B4"/>
    </sheetView>
  </sheetViews>
  <sheetFormatPr defaultRowHeight="12" x14ac:dyDescent="0.2"/>
  <cols>
    <col min="1" max="1" width="3.140625" style="1" customWidth="1"/>
    <col min="2" max="2" width="17.85546875" style="2" customWidth="1"/>
    <col min="3" max="3" width="17.85546875" style="402" customWidth="1"/>
    <col min="4" max="4" width="11" style="3" customWidth="1"/>
    <col min="5" max="5" width="10.42578125" style="1" customWidth="1"/>
    <col min="6" max="6" width="21.85546875" style="49" customWidth="1"/>
    <col min="7" max="7" width="19.7109375" style="49" bestFit="1" customWidth="1"/>
    <col min="8" max="8" width="19.5703125" style="49" customWidth="1"/>
    <col min="9" max="9" width="17.85546875" style="49" bestFit="1" customWidth="1"/>
    <col min="10" max="231" width="9.140625" style="1"/>
    <col min="232" max="232" width="3.140625" style="1" customWidth="1"/>
    <col min="233" max="234" width="17.85546875" style="1" customWidth="1"/>
    <col min="235" max="235" width="11" style="1" customWidth="1"/>
    <col min="236" max="236" width="10.42578125" style="1" customWidth="1"/>
    <col min="237" max="238" width="19.7109375" style="1" bestFit="1" customWidth="1"/>
    <col min="239" max="239" width="17.7109375" style="1" bestFit="1" customWidth="1"/>
    <col min="240" max="240" width="17.85546875" style="1" bestFit="1" customWidth="1"/>
    <col min="241" max="16384" width="9.140625" style="1"/>
  </cols>
  <sheetData>
    <row r="1" spans="1:9" ht="0.75" hidden="1" customHeight="1" x14ac:dyDescent="0.25">
      <c r="A1" s="12"/>
      <c r="B1" s="13" t="s">
        <v>229</v>
      </c>
      <c r="C1" s="380"/>
      <c r="D1" s="14"/>
      <c r="E1" s="14"/>
    </row>
    <row r="2" spans="1:9" ht="62.25" customHeight="1" x14ac:dyDescent="0.2">
      <c r="A2" s="15"/>
      <c r="B2" s="381" t="s">
        <v>224</v>
      </c>
      <c r="C2" s="381" t="s">
        <v>2</v>
      </c>
      <c r="D2" s="382" t="s">
        <v>12</v>
      </c>
      <c r="E2" s="383" t="s">
        <v>220</v>
      </c>
      <c r="F2" s="384" t="s">
        <v>215</v>
      </c>
      <c r="G2" s="384" t="s">
        <v>216</v>
      </c>
      <c r="H2" s="384" t="s">
        <v>217</v>
      </c>
      <c r="I2" s="384" t="s">
        <v>218</v>
      </c>
    </row>
    <row r="3" spans="1:9" ht="23.25" customHeight="1" x14ac:dyDescent="0.2">
      <c r="A3" s="15"/>
      <c r="B3" s="385"/>
      <c r="C3" s="386"/>
      <c r="D3" s="387"/>
      <c r="E3" s="387"/>
      <c r="F3" s="384" t="s">
        <v>93</v>
      </c>
      <c r="G3" s="384" t="s">
        <v>94</v>
      </c>
      <c r="H3" s="384" t="s">
        <v>95</v>
      </c>
      <c r="I3" s="384" t="s">
        <v>219</v>
      </c>
    </row>
    <row r="4" spans="1:9" ht="24.75" customHeight="1" x14ac:dyDescent="0.2">
      <c r="A4" s="202">
        <v>11</v>
      </c>
      <c r="B4" s="198" t="s">
        <v>200</v>
      </c>
      <c r="C4" s="199">
        <v>45080</v>
      </c>
      <c r="D4" s="200" t="s">
        <v>351</v>
      </c>
      <c r="E4" s="201" t="s">
        <v>150</v>
      </c>
      <c r="F4" s="206" t="s">
        <v>303</v>
      </c>
      <c r="G4" s="206" t="s">
        <v>230</v>
      </c>
      <c r="H4" s="206" t="s">
        <v>288</v>
      </c>
      <c r="I4" s="206" t="s">
        <v>239</v>
      </c>
    </row>
    <row r="5" spans="1:9" ht="24.75" customHeight="1" x14ac:dyDescent="0.2">
      <c r="A5" s="202">
        <v>12</v>
      </c>
      <c r="B5" s="198" t="s">
        <v>201</v>
      </c>
      <c r="C5" s="199">
        <v>45080</v>
      </c>
      <c r="D5" s="200" t="s">
        <v>352</v>
      </c>
      <c r="E5" s="201" t="s">
        <v>150</v>
      </c>
      <c r="F5" s="206" t="s">
        <v>290</v>
      </c>
      <c r="G5" s="206" t="s">
        <v>179</v>
      </c>
      <c r="H5" s="206" t="s">
        <v>180</v>
      </c>
      <c r="I5" s="206" t="s">
        <v>232</v>
      </c>
    </row>
    <row r="6" spans="1:9" ht="24.75" customHeight="1" x14ac:dyDescent="0.2">
      <c r="A6" s="16">
        <v>13</v>
      </c>
      <c r="B6" s="17" t="s">
        <v>202</v>
      </c>
      <c r="C6" s="388">
        <v>44730</v>
      </c>
      <c r="D6" s="389" t="s">
        <v>225</v>
      </c>
      <c r="E6" s="390" t="s">
        <v>150</v>
      </c>
      <c r="F6" s="392" t="s">
        <v>233</v>
      </c>
      <c r="G6" s="391" t="s">
        <v>234</v>
      </c>
      <c r="H6" s="393" t="s">
        <v>235</v>
      </c>
      <c r="I6" s="391" t="s">
        <v>236</v>
      </c>
    </row>
    <row r="7" spans="1:9" ht="24.75" customHeight="1" x14ac:dyDescent="0.2">
      <c r="A7" s="16">
        <v>14</v>
      </c>
      <c r="B7" s="17" t="s">
        <v>203</v>
      </c>
      <c r="C7" s="388">
        <v>45066</v>
      </c>
      <c r="D7" s="389" t="s">
        <v>304</v>
      </c>
      <c r="E7" s="394" t="s">
        <v>150</v>
      </c>
      <c r="F7" s="181" t="s">
        <v>293</v>
      </c>
      <c r="G7" s="121" t="s">
        <v>292</v>
      </c>
      <c r="H7" s="181" t="s">
        <v>291</v>
      </c>
      <c r="I7" s="120" t="s">
        <v>243</v>
      </c>
    </row>
    <row r="8" spans="1:9" ht="24.75" customHeight="1" x14ac:dyDescent="0.2">
      <c r="A8" s="16">
        <v>25</v>
      </c>
      <c r="B8" s="17" t="s">
        <v>187</v>
      </c>
      <c r="C8" s="388">
        <v>45066</v>
      </c>
      <c r="D8" s="389" t="s">
        <v>299</v>
      </c>
      <c r="E8" s="390" t="s">
        <v>150</v>
      </c>
      <c r="F8" s="392" t="s">
        <v>234</v>
      </c>
      <c r="G8" s="391" t="s">
        <v>233</v>
      </c>
      <c r="H8" s="391" t="s">
        <v>237</v>
      </c>
      <c r="I8" s="395" t="s">
        <v>236</v>
      </c>
    </row>
    <row r="9" spans="1:9" ht="24.75" customHeight="1" x14ac:dyDescent="0.2">
      <c r="A9" s="16">
        <v>26</v>
      </c>
      <c r="B9" s="17" t="s">
        <v>188</v>
      </c>
      <c r="C9" s="388">
        <v>45066</v>
      </c>
      <c r="D9" s="389" t="s">
        <v>300</v>
      </c>
      <c r="E9" s="394" t="s">
        <v>6</v>
      </c>
      <c r="F9" s="396" t="s">
        <v>207</v>
      </c>
      <c r="G9" s="396" t="s">
        <v>287</v>
      </c>
      <c r="H9" s="396" t="s">
        <v>204</v>
      </c>
      <c r="I9" s="396" t="s">
        <v>206</v>
      </c>
    </row>
    <row r="10" spans="1:9" ht="24.75" customHeight="1" x14ac:dyDescent="0.2">
      <c r="A10" s="16">
        <v>29</v>
      </c>
      <c r="B10" s="17" t="s">
        <v>189</v>
      </c>
      <c r="C10" s="388">
        <v>44695</v>
      </c>
      <c r="D10" s="389" t="s">
        <v>211</v>
      </c>
      <c r="E10" s="390" t="s">
        <v>150</v>
      </c>
      <c r="F10" s="392" t="s">
        <v>238</v>
      </c>
      <c r="G10" s="391" t="s">
        <v>230</v>
      </c>
      <c r="H10" s="391" t="s">
        <v>231</v>
      </c>
      <c r="I10" s="392" t="s">
        <v>239</v>
      </c>
    </row>
    <row r="11" spans="1:9" ht="24.75" customHeight="1" x14ac:dyDescent="0.2">
      <c r="A11" s="16">
        <v>30</v>
      </c>
      <c r="B11" s="17" t="s">
        <v>190</v>
      </c>
      <c r="C11" s="388">
        <v>44695</v>
      </c>
      <c r="D11" s="389" t="s">
        <v>212</v>
      </c>
      <c r="E11" s="394" t="s">
        <v>6</v>
      </c>
      <c r="F11" s="119" t="s">
        <v>209</v>
      </c>
      <c r="G11" s="119" t="s">
        <v>205</v>
      </c>
      <c r="H11" s="119" t="s">
        <v>208</v>
      </c>
      <c r="I11" s="119" t="s">
        <v>210</v>
      </c>
    </row>
    <row r="12" spans="1:9" ht="24.75" customHeight="1" x14ac:dyDescent="0.2">
      <c r="A12" s="202">
        <v>41</v>
      </c>
      <c r="B12" s="203" t="s">
        <v>194</v>
      </c>
      <c r="C12" s="199">
        <v>45080</v>
      </c>
      <c r="D12" s="200" t="s">
        <v>353</v>
      </c>
      <c r="E12" s="201" t="s">
        <v>150</v>
      </c>
      <c r="F12" s="356" t="s">
        <v>303</v>
      </c>
      <c r="G12" s="357" t="s">
        <v>288</v>
      </c>
      <c r="H12" s="358" t="s">
        <v>239</v>
      </c>
      <c r="I12" s="357" t="s">
        <v>230</v>
      </c>
    </row>
    <row r="13" spans="1:9" ht="24.75" customHeight="1" x14ac:dyDescent="0.2">
      <c r="A13" s="16">
        <v>42</v>
      </c>
      <c r="B13" s="17" t="s">
        <v>193</v>
      </c>
      <c r="C13" s="388">
        <v>44758</v>
      </c>
      <c r="D13" s="389" t="s">
        <v>226</v>
      </c>
      <c r="E13" s="394" t="s">
        <v>150</v>
      </c>
      <c r="F13" s="397" t="s">
        <v>180</v>
      </c>
      <c r="G13" s="80" t="s">
        <v>179</v>
      </c>
      <c r="H13" s="80" t="s">
        <v>232</v>
      </c>
      <c r="I13" s="398" t="s">
        <v>240</v>
      </c>
    </row>
    <row r="14" spans="1:9" ht="24.75" customHeight="1" x14ac:dyDescent="0.2">
      <c r="A14" s="16">
        <v>43</v>
      </c>
      <c r="B14" s="17" t="s">
        <v>192</v>
      </c>
      <c r="C14" s="388">
        <v>44730</v>
      </c>
      <c r="D14" s="389" t="s">
        <v>241</v>
      </c>
      <c r="E14" s="390" t="s">
        <v>150</v>
      </c>
      <c r="F14" s="391" t="s">
        <v>234</v>
      </c>
      <c r="G14" s="393" t="s">
        <v>235</v>
      </c>
      <c r="H14" s="392" t="s">
        <v>233</v>
      </c>
      <c r="I14" s="391" t="s">
        <v>236</v>
      </c>
    </row>
    <row r="15" spans="1:9" ht="24.75" customHeight="1" x14ac:dyDescent="0.2">
      <c r="A15" s="202">
        <v>44</v>
      </c>
      <c r="B15" s="203" t="s">
        <v>191</v>
      </c>
      <c r="C15" s="199">
        <v>45080</v>
      </c>
      <c r="D15" s="200" t="s">
        <v>397</v>
      </c>
      <c r="E15" s="204" t="s">
        <v>150</v>
      </c>
      <c r="F15" s="207" t="s">
        <v>358</v>
      </c>
      <c r="G15" s="207" t="s">
        <v>357</v>
      </c>
      <c r="H15" s="207" t="s">
        <v>356</v>
      </c>
      <c r="I15" s="207" t="s">
        <v>361</v>
      </c>
    </row>
    <row r="16" spans="1:9" ht="24.75" customHeight="1" x14ac:dyDescent="0.2">
      <c r="A16" s="202">
        <v>55</v>
      </c>
      <c r="B16" s="203" t="s">
        <v>195</v>
      </c>
      <c r="C16" s="199">
        <v>45080</v>
      </c>
      <c r="D16" s="200" t="s">
        <v>355</v>
      </c>
      <c r="E16" s="201" t="s">
        <v>150</v>
      </c>
      <c r="F16" s="205" t="s">
        <v>233</v>
      </c>
      <c r="G16" s="206" t="s">
        <v>234</v>
      </c>
      <c r="H16" s="205" t="s">
        <v>236</v>
      </c>
      <c r="I16" s="206" t="s">
        <v>237</v>
      </c>
    </row>
    <row r="17" spans="1:10" ht="24.75" customHeight="1" x14ac:dyDescent="0.2">
      <c r="A17" s="16">
        <v>56</v>
      </c>
      <c r="B17" s="17" t="s">
        <v>196</v>
      </c>
      <c r="C17" s="388">
        <v>45066</v>
      </c>
      <c r="D17" s="389" t="s">
        <v>301</v>
      </c>
      <c r="E17" s="394" t="s">
        <v>6</v>
      </c>
      <c r="F17" s="396" t="s">
        <v>204</v>
      </c>
      <c r="G17" s="396" t="s">
        <v>287</v>
      </c>
      <c r="H17" s="396" t="s">
        <v>207</v>
      </c>
      <c r="I17" s="396" t="s">
        <v>206</v>
      </c>
    </row>
    <row r="18" spans="1:10" ht="24.75" customHeight="1" x14ac:dyDescent="0.2">
      <c r="A18" s="16">
        <v>59</v>
      </c>
      <c r="B18" s="17" t="s">
        <v>198</v>
      </c>
      <c r="C18" s="388">
        <v>44695</v>
      </c>
      <c r="D18" s="389" t="s">
        <v>213</v>
      </c>
      <c r="E18" s="390" t="s">
        <v>150</v>
      </c>
      <c r="F18" s="392" t="s">
        <v>238</v>
      </c>
      <c r="G18" s="391" t="s">
        <v>231</v>
      </c>
      <c r="H18" s="392" t="s">
        <v>239</v>
      </c>
      <c r="I18" s="391" t="s">
        <v>230</v>
      </c>
    </row>
    <row r="19" spans="1:10" ht="24.75" customHeight="1" x14ac:dyDescent="0.2">
      <c r="A19" s="16">
        <v>60</v>
      </c>
      <c r="B19" s="17" t="s">
        <v>197</v>
      </c>
      <c r="C19" s="388">
        <v>44758</v>
      </c>
      <c r="D19" s="389" t="s">
        <v>228</v>
      </c>
      <c r="E19" s="394" t="s">
        <v>6</v>
      </c>
      <c r="F19" s="119" t="s">
        <v>208</v>
      </c>
      <c r="G19" s="121" t="s">
        <v>209</v>
      </c>
      <c r="H19" s="181" t="s">
        <v>210</v>
      </c>
      <c r="I19" s="119" t="s">
        <v>205</v>
      </c>
    </row>
    <row r="20" spans="1:10" ht="24.75" customHeight="1" thickBot="1" x14ac:dyDescent="0.25">
      <c r="A20" s="231">
        <v>61</v>
      </c>
      <c r="B20" s="232" t="s">
        <v>199</v>
      </c>
      <c r="C20" s="388">
        <v>45066</v>
      </c>
      <c r="D20" s="399" t="s">
        <v>302</v>
      </c>
      <c r="E20" s="149" t="s">
        <v>150</v>
      </c>
      <c r="F20" s="400"/>
      <c r="G20" s="401"/>
    </row>
    <row r="21" spans="1:10" x14ac:dyDescent="0.2">
      <c r="F21" s="359" t="s">
        <v>294</v>
      </c>
      <c r="G21" s="359" t="s">
        <v>293</v>
      </c>
      <c r="H21" s="403"/>
      <c r="I21" s="404"/>
    </row>
    <row r="22" spans="1:10" ht="12.75" x14ac:dyDescent="0.2">
      <c r="F22" s="359" t="s">
        <v>295</v>
      </c>
      <c r="G22" s="359" t="s">
        <v>243</v>
      </c>
      <c r="H22" s="405"/>
      <c r="I22" s="406"/>
      <c r="J22" s="403"/>
    </row>
    <row r="23" spans="1:10" ht="12.75" x14ac:dyDescent="0.2">
      <c r="F23" s="407" t="s">
        <v>237</v>
      </c>
      <c r="G23" s="359" t="s">
        <v>296</v>
      </c>
      <c r="H23" s="405"/>
      <c r="I23" s="406"/>
      <c r="J23" s="403"/>
    </row>
    <row r="24" spans="1:10" ht="12.75" x14ac:dyDescent="0.2">
      <c r="F24" s="359" t="s">
        <v>289</v>
      </c>
      <c r="G24" s="359" t="s">
        <v>297</v>
      </c>
      <c r="H24" s="405"/>
      <c r="I24" s="408"/>
      <c r="J24" s="403"/>
    </row>
    <row r="25" spans="1:10" ht="12.75" x14ac:dyDescent="0.2">
      <c r="F25" s="359" t="s">
        <v>230</v>
      </c>
      <c r="G25" s="359" t="s">
        <v>180</v>
      </c>
      <c r="H25" s="405"/>
      <c r="I25" s="406"/>
      <c r="J25" s="403"/>
    </row>
    <row r="26" spans="1:10" ht="12.75" x14ac:dyDescent="0.2">
      <c r="H26" s="405"/>
      <c r="I26" s="406"/>
      <c r="J26" s="403"/>
    </row>
    <row r="28" spans="1:10" ht="15.75" x14ac:dyDescent="0.25">
      <c r="F28" s="405"/>
      <c r="G28" s="409"/>
      <c r="H28" s="410"/>
      <c r="I28" s="405"/>
    </row>
    <row r="29" spans="1:10" ht="15.75" x14ac:dyDescent="0.25">
      <c r="F29" s="405"/>
      <c r="G29" s="409"/>
      <c r="H29" s="410"/>
      <c r="I29" s="405"/>
    </row>
    <row r="30" spans="1:10" ht="15.75" x14ac:dyDescent="0.25">
      <c r="F30" s="405"/>
      <c r="G30" s="409"/>
      <c r="H30" s="410"/>
      <c r="I30" s="405"/>
    </row>
    <row r="31" spans="1:10" ht="15.75" x14ac:dyDescent="0.25">
      <c r="F31" s="405"/>
      <c r="G31" s="409"/>
      <c r="H31" s="410"/>
      <c r="I31" s="405"/>
    </row>
    <row r="32" spans="1:10" ht="15.75" x14ac:dyDescent="0.25">
      <c r="F32" s="405"/>
      <c r="G32" s="409"/>
      <c r="H32" s="410"/>
      <c r="I32" s="405"/>
    </row>
  </sheetData>
  <protectedRanges>
    <protectedRange sqref="F5" name="Range1_1_2"/>
    <protectedRange sqref="G5:G6 I14 I6 F14 H5" name="Range1_3_1"/>
    <protectedRange sqref="G7 I7" name="Range1_1_1_1"/>
  </protectedRanges>
  <pageMargins left="0.7" right="0.7" top="0.75" bottom="0.75" header="0.3" footer="0.3"/>
  <pageSetup paperSize="9" scale="85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7"/>
  <sheetViews>
    <sheetView topLeftCell="A9" workbookViewId="0">
      <selection activeCell="B25" sqref="B25"/>
    </sheetView>
  </sheetViews>
  <sheetFormatPr defaultRowHeight="12.75" x14ac:dyDescent="0.2"/>
  <cols>
    <col min="1" max="1" width="9" style="21" customWidth="1"/>
    <col min="2" max="2" width="103.28515625" customWidth="1"/>
  </cols>
  <sheetData>
    <row r="1" spans="1:2" x14ac:dyDescent="0.2">
      <c r="A1" s="161" t="s">
        <v>244</v>
      </c>
      <c r="B1" s="153" t="s">
        <v>245</v>
      </c>
    </row>
    <row r="2" spans="1:2" x14ac:dyDescent="0.2">
      <c r="A2" s="162">
        <v>4.4000000000000004</v>
      </c>
      <c r="B2" s="154" t="s">
        <v>305</v>
      </c>
    </row>
    <row r="3" spans="1:2" x14ac:dyDescent="0.2">
      <c r="A3" s="163"/>
      <c r="B3" s="155" t="s">
        <v>246</v>
      </c>
    </row>
    <row r="4" spans="1:2" x14ac:dyDescent="0.2">
      <c r="A4" s="162">
        <v>5.2</v>
      </c>
      <c r="B4" s="156" t="s">
        <v>247</v>
      </c>
    </row>
    <row r="5" spans="1:2" x14ac:dyDescent="0.2">
      <c r="A5" s="162" t="s">
        <v>264</v>
      </c>
      <c r="B5" s="154" t="s">
        <v>306</v>
      </c>
    </row>
    <row r="6" spans="1:2" x14ac:dyDescent="0.2">
      <c r="A6" s="162" t="s">
        <v>265</v>
      </c>
      <c r="B6" s="156" t="s">
        <v>248</v>
      </c>
    </row>
    <row r="7" spans="1:2" x14ac:dyDescent="0.2">
      <c r="A7" s="164"/>
      <c r="B7" s="157" t="s">
        <v>249</v>
      </c>
    </row>
    <row r="8" spans="1:2" ht="24" x14ac:dyDescent="0.2">
      <c r="A8" s="162">
        <v>6.1</v>
      </c>
      <c r="B8" s="156" t="s">
        <v>250</v>
      </c>
    </row>
    <row r="9" spans="1:2" x14ac:dyDescent="0.2">
      <c r="A9" s="162">
        <v>6.2</v>
      </c>
      <c r="B9" s="154" t="s">
        <v>307</v>
      </c>
    </row>
    <row r="10" spans="1:2" x14ac:dyDescent="0.2">
      <c r="A10" s="162">
        <v>6.3</v>
      </c>
      <c r="B10" s="156" t="s">
        <v>251</v>
      </c>
    </row>
    <row r="11" spans="1:2" x14ac:dyDescent="0.2">
      <c r="A11" s="165" t="s">
        <v>261</v>
      </c>
      <c r="B11" s="154" t="s">
        <v>252</v>
      </c>
    </row>
    <row r="12" spans="1:2" x14ac:dyDescent="0.2">
      <c r="A12" s="165" t="s">
        <v>262</v>
      </c>
      <c r="B12" s="156" t="s">
        <v>253</v>
      </c>
    </row>
    <row r="13" spans="1:2" x14ac:dyDescent="0.2">
      <c r="A13" s="165" t="s">
        <v>263</v>
      </c>
      <c r="B13" s="154" t="s">
        <v>308</v>
      </c>
    </row>
    <row r="14" spans="1:2" x14ac:dyDescent="0.2">
      <c r="A14" s="162">
        <v>6.5</v>
      </c>
      <c r="B14" s="154" t="s">
        <v>354</v>
      </c>
    </row>
    <row r="15" spans="1:2" x14ac:dyDescent="0.2">
      <c r="A15" s="166"/>
      <c r="B15" s="158" t="s">
        <v>254</v>
      </c>
    </row>
    <row r="16" spans="1:2" x14ac:dyDescent="0.2">
      <c r="A16" s="162" t="s">
        <v>266</v>
      </c>
      <c r="B16" s="154" t="s">
        <v>340</v>
      </c>
    </row>
    <row r="17" spans="1:2" x14ac:dyDescent="0.2">
      <c r="A17" s="162" t="s">
        <v>267</v>
      </c>
      <c r="B17" s="154" t="s">
        <v>341</v>
      </c>
    </row>
    <row r="18" spans="1:2" x14ac:dyDescent="0.2">
      <c r="A18" s="165" t="s">
        <v>268</v>
      </c>
      <c r="B18" s="154" t="s">
        <v>332</v>
      </c>
    </row>
    <row r="19" spans="1:2" x14ac:dyDescent="0.2">
      <c r="A19" s="165" t="s">
        <v>269</v>
      </c>
      <c r="B19" s="154" t="s">
        <v>342</v>
      </c>
    </row>
    <row r="20" spans="1:2" x14ac:dyDescent="0.2">
      <c r="A20" s="165" t="s">
        <v>270</v>
      </c>
      <c r="B20" s="154" t="s">
        <v>343</v>
      </c>
    </row>
    <row r="21" spans="1:2" x14ac:dyDescent="0.2">
      <c r="A21" s="165" t="s">
        <v>271</v>
      </c>
      <c r="B21" s="154" t="s">
        <v>344</v>
      </c>
    </row>
    <row r="22" spans="1:2" x14ac:dyDescent="0.2">
      <c r="A22" s="165" t="s">
        <v>272</v>
      </c>
      <c r="B22" s="154" t="s">
        <v>345</v>
      </c>
    </row>
    <row r="23" spans="1:2" x14ac:dyDescent="0.2">
      <c r="A23" s="165" t="s">
        <v>273</v>
      </c>
      <c r="B23" s="154" t="s">
        <v>346</v>
      </c>
    </row>
    <row r="24" spans="1:2" x14ac:dyDescent="0.2">
      <c r="A24" s="162" t="s">
        <v>274</v>
      </c>
      <c r="B24" s="154" t="s">
        <v>347</v>
      </c>
    </row>
    <row r="25" spans="1:2" x14ac:dyDescent="0.2">
      <c r="A25" s="162" t="s">
        <v>275</v>
      </c>
      <c r="B25" s="154" t="s">
        <v>348</v>
      </c>
    </row>
    <row r="26" spans="1:2" x14ac:dyDescent="0.2">
      <c r="A26" s="162" t="s">
        <v>276</v>
      </c>
      <c r="B26" s="154" t="s">
        <v>255</v>
      </c>
    </row>
    <row r="27" spans="1:2" x14ac:dyDescent="0.2">
      <c r="A27" s="162" t="s">
        <v>277</v>
      </c>
      <c r="B27" s="154" t="s">
        <v>349</v>
      </c>
    </row>
    <row r="28" spans="1:2" x14ac:dyDescent="0.2">
      <c r="A28" s="162">
        <v>7.6</v>
      </c>
      <c r="B28" s="154" t="s">
        <v>350</v>
      </c>
    </row>
    <row r="29" spans="1:2" x14ac:dyDescent="0.2">
      <c r="A29" s="167"/>
      <c r="B29" s="159" t="s">
        <v>256</v>
      </c>
    </row>
    <row r="30" spans="1:2" x14ac:dyDescent="0.2">
      <c r="A30" s="162">
        <v>8.1</v>
      </c>
      <c r="B30" s="154" t="s">
        <v>332</v>
      </c>
    </row>
    <row r="31" spans="1:2" x14ac:dyDescent="0.2">
      <c r="A31" s="162" t="s">
        <v>278</v>
      </c>
      <c r="B31" s="154" t="s">
        <v>333</v>
      </c>
    </row>
    <row r="32" spans="1:2" x14ac:dyDescent="0.2">
      <c r="A32" s="162" t="s">
        <v>279</v>
      </c>
      <c r="B32" s="154" t="s">
        <v>334</v>
      </c>
    </row>
    <row r="33" spans="1:2" x14ac:dyDescent="0.2">
      <c r="A33" s="162" t="s">
        <v>280</v>
      </c>
      <c r="B33" s="154" t="s">
        <v>335</v>
      </c>
    </row>
    <row r="34" spans="1:2" x14ac:dyDescent="0.2">
      <c r="A34" s="162" t="s">
        <v>281</v>
      </c>
      <c r="B34" s="154" t="s">
        <v>336</v>
      </c>
    </row>
    <row r="35" spans="1:2" x14ac:dyDescent="0.2">
      <c r="A35" s="162">
        <v>8.4</v>
      </c>
      <c r="B35" s="154" t="s">
        <v>337</v>
      </c>
    </row>
    <row r="36" spans="1:2" x14ac:dyDescent="0.2">
      <c r="A36" s="162" t="s">
        <v>282</v>
      </c>
      <c r="B36" s="156" t="s">
        <v>257</v>
      </c>
    </row>
    <row r="37" spans="1:2" x14ac:dyDescent="0.2">
      <c r="A37" s="162" t="s">
        <v>283</v>
      </c>
      <c r="B37" s="156" t="s">
        <v>338</v>
      </c>
    </row>
    <row r="38" spans="1:2" x14ac:dyDescent="0.2">
      <c r="A38" s="162" t="s">
        <v>339</v>
      </c>
      <c r="B38" s="154" t="s">
        <v>306</v>
      </c>
    </row>
    <row r="39" spans="1:2" x14ac:dyDescent="0.2">
      <c r="A39" s="163"/>
      <c r="B39" s="155" t="s">
        <v>258</v>
      </c>
    </row>
    <row r="40" spans="1:2" x14ac:dyDescent="0.2">
      <c r="A40" s="162">
        <v>5.0999999999999996</v>
      </c>
      <c r="B40" s="154" t="s">
        <v>330</v>
      </c>
    </row>
    <row r="41" spans="1:2" x14ac:dyDescent="0.2">
      <c r="A41" s="162">
        <v>9.1</v>
      </c>
      <c r="B41" s="154" t="s">
        <v>329</v>
      </c>
    </row>
    <row r="42" spans="1:2" x14ac:dyDescent="0.2">
      <c r="A42" s="162">
        <v>9.1999999999999993</v>
      </c>
      <c r="B42" s="154" t="s">
        <v>328</v>
      </c>
    </row>
    <row r="43" spans="1:2" x14ac:dyDescent="0.2">
      <c r="A43" s="162">
        <v>9.3000000000000007</v>
      </c>
      <c r="B43" s="154" t="s">
        <v>326</v>
      </c>
    </row>
    <row r="44" spans="1:2" x14ac:dyDescent="0.2">
      <c r="A44" s="162">
        <v>9.4</v>
      </c>
      <c r="B44" s="154" t="s">
        <v>327</v>
      </c>
    </row>
    <row r="45" spans="1:2" x14ac:dyDescent="0.2">
      <c r="A45" s="168"/>
      <c r="B45" s="160" t="s">
        <v>259</v>
      </c>
    </row>
    <row r="46" spans="1:2" x14ac:dyDescent="0.2">
      <c r="A46" s="162">
        <v>10.199999999999999</v>
      </c>
      <c r="B46" s="154" t="s">
        <v>325</v>
      </c>
    </row>
    <row r="47" spans="1:2" x14ac:dyDescent="0.2">
      <c r="A47" s="162">
        <v>10.4</v>
      </c>
      <c r="B47" s="154" t="s">
        <v>324</v>
      </c>
    </row>
    <row r="48" spans="1:2" x14ac:dyDescent="0.2">
      <c r="A48" s="162" t="s">
        <v>322</v>
      </c>
      <c r="B48" s="154" t="s">
        <v>323</v>
      </c>
    </row>
    <row r="49" spans="1:2" x14ac:dyDescent="0.2">
      <c r="A49" s="162" t="s">
        <v>331</v>
      </c>
      <c r="B49" s="154" t="s">
        <v>321</v>
      </c>
    </row>
    <row r="50" spans="1:2" x14ac:dyDescent="0.2">
      <c r="A50" s="162">
        <v>10.6</v>
      </c>
      <c r="B50" s="154" t="s">
        <v>320</v>
      </c>
    </row>
    <row r="51" spans="1:2" x14ac:dyDescent="0.2">
      <c r="A51" s="162">
        <v>10.7</v>
      </c>
      <c r="B51" s="154" t="s">
        <v>319</v>
      </c>
    </row>
    <row r="52" spans="1:2" x14ac:dyDescent="0.2">
      <c r="A52" s="162">
        <v>10.8</v>
      </c>
      <c r="B52" s="154" t="s">
        <v>318</v>
      </c>
    </row>
    <row r="53" spans="1:2" x14ac:dyDescent="0.2">
      <c r="A53" s="162">
        <v>10.9</v>
      </c>
      <c r="B53" s="154" t="s">
        <v>317</v>
      </c>
    </row>
    <row r="54" spans="1:2" x14ac:dyDescent="0.2">
      <c r="A54" s="169">
        <v>10.11</v>
      </c>
      <c r="B54" s="156" t="s">
        <v>316</v>
      </c>
    </row>
    <row r="55" spans="1:2" x14ac:dyDescent="0.2">
      <c r="A55" s="169">
        <v>10.119999999999999</v>
      </c>
      <c r="B55" s="154" t="s">
        <v>315</v>
      </c>
    </row>
    <row r="56" spans="1:2" x14ac:dyDescent="0.2">
      <c r="A56" s="169">
        <v>10.130000000000001</v>
      </c>
      <c r="B56" s="154" t="s">
        <v>314</v>
      </c>
    </row>
    <row r="57" spans="1:2" x14ac:dyDescent="0.2">
      <c r="A57" s="169">
        <v>10.14</v>
      </c>
      <c r="B57" s="154" t="s">
        <v>313</v>
      </c>
    </row>
    <row r="58" spans="1:2" x14ac:dyDescent="0.2">
      <c r="A58" s="169">
        <v>10.15</v>
      </c>
      <c r="B58" s="156" t="s">
        <v>312</v>
      </c>
    </row>
    <row r="59" spans="1:2" x14ac:dyDescent="0.2">
      <c r="A59" s="169">
        <v>10.17</v>
      </c>
      <c r="B59" s="154" t="s">
        <v>311</v>
      </c>
    </row>
    <row r="60" spans="1:2" x14ac:dyDescent="0.2">
      <c r="A60" s="168"/>
      <c r="B60" s="160" t="s">
        <v>309</v>
      </c>
    </row>
    <row r="61" spans="1:2" x14ac:dyDescent="0.2">
      <c r="A61" s="162">
        <v>15.2</v>
      </c>
      <c r="B61" s="154" t="s">
        <v>310</v>
      </c>
    </row>
    <row r="67" spans="1:2" x14ac:dyDescent="0.2">
      <c r="A67" s="361">
        <v>10.1</v>
      </c>
      <c r="B67" s="362" t="s">
        <v>260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5140D37DA974E8F83606E97A55E6A" ma:contentTypeVersion="0" ma:contentTypeDescription="Create a new document." ma:contentTypeScope="" ma:versionID="e124fdd7a2883ee08b344bc402a3f7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180a8389243951cd65b31068827aa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34E877-6C2E-4635-A852-51696ADF7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5E5A1E-27DA-4308-B711-DCE90EBA4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Moors League</vt:lpstr>
      <vt:lpstr>Running Total</vt:lpstr>
      <vt:lpstr>Lane 1 Team Sheet</vt:lpstr>
      <vt:lpstr>Lane 2 Team Sheet</vt:lpstr>
      <vt:lpstr>Lane 3 Team Sheet</vt:lpstr>
      <vt:lpstr>Lane 4 Team Sheet</vt:lpstr>
      <vt:lpstr>Records</vt:lpstr>
      <vt:lpstr>Relay Records</vt:lpstr>
      <vt:lpstr>DQ Lookup</vt:lpstr>
      <vt:lpstr>Team Changes after event</vt:lpstr>
      <vt:lpstr>'Moors League'!place</vt:lpstr>
      <vt:lpstr>points</vt:lpstr>
      <vt:lpstr>position</vt:lpstr>
      <vt:lpstr>'Lane 4 Team Sheet'!Print_Area</vt:lpstr>
      <vt:lpstr>'Moors League'!Print_Area</vt:lpstr>
      <vt:lpstr>'Moors League'!Print_Titles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Prouse</dc:creator>
  <cp:lastModifiedBy>Moors Swim Squad</cp:lastModifiedBy>
  <cp:lastPrinted>2023-05-21T11:21:52Z</cp:lastPrinted>
  <dcterms:created xsi:type="dcterms:W3CDTF">2016-01-18T11:06:53Z</dcterms:created>
  <dcterms:modified xsi:type="dcterms:W3CDTF">2023-06-17T20:16:07Z</dcterms:modified>
</cp:coreProperties>
</file>